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35BDD4B8-4BE0-4AAF-929F-ACAAC151DBD3}" xr6:coauthVersionLast="38" xr6:coauthVersionMax="38" xr10:uidLastSave="{00000000-0000-0000-0000-000000000000}"/>
  <bookViews>
    <workbookView xWindow="0" yWindow="0" windowWidth="27860" windowHeight="9200" tabRatio="942"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Input_Sheet_Template!$E$102</definedName>
    <definedName name="acres">Input_Sheet_Template!$E$103</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Input_Sheet_Template!$E$158</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Input_Sheet_Template!$C$89</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Input_Sheet_Template!$E$99</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Input_Sheet_Template!$C$88</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Input_Sheet_Template!$F$73:$F$76</definedName>
    <definedName name="Dynamic_NonE_Byprod_Total">Input_Sheet_Template!$E$141:$E$142</definedName>
    <definedName name="Dynamic_NonE_Feed_Total">Input_Sheet_Template!$E$136:$E$141</definedName>
    <definedName name="Dynamic_Utilities_Total">Input_Sheet_Template!$F$76:$F$79</definedName>
    <definedName name="Energy_Feed_List">Lists!$K$12</definedName>
    <definedName name="Energy_Feed_Years">Lists!$K$14</definedName>
    <definedName name="Engin">Input_Sheet_Template!$E$93</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Input_Sheet_Template!#REF!</definedName>
    <definedName name="feedstockIndustrial_Natural_Gas_Price">Input_Sheet_Template!$D$75</definedName>
    <definedName name="feedstockIndustrial_Natural_Gas_Usage">Input_Sheet_Template!$E$75</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Input_Sheet_Template!$E$97</definedName>
    <definedName name="fixed">Input_Sheet_Template!$E$124</definedName>
    <definedName name="FTE_cost">Input_Sheet_Template!$E$112</definedName>
    <definedName name="FTEs">Input_Sheet_Template!$E$111</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Input_Sheet_Template!$E$113</definedName>
    <definedName name="land_cost">Input_Sheet_Template!$E$104</definedName>
    <definedName name="lb_to_kg">'Constants and Conversions'!$C$7</definedName>
    <definedName name="licensing">Input_Sheet_Template!$E$116</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Input_Sheet_Template!$E$120</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Input_Sheet_Template!$E$106</definedName>
    <definedName name="non_dep_infl">'Cash Flow Analysis'!$B$52</definedName>
    <definedName name="NPV">'Cash Flow Analysis'!$E$26</definedName>
    <definedName name="operator_profit">Input_Sheet_Template!$E$156</definedName>
    <definedName name="other_fees">Input_Sheet_Template!$E$122</definedName>
    <definedName name="other_fixed">Input_Sheet_Template!$E$123</definedName>
    <definedName name="Other_indirect">Input_Sheet_Template!$E$96</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Input_Sheet_Template!$E$115</definedName>
    <definedName name="overhead_rate">Input_Sheet_Template!$C$114</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Input_Sheet_Template!$E$98</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Input_Sheet_Template!$B$126:$G$163</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Input_Sheet_Template!$E$159</definedName>
    <definedName name="Proc_CO2_taxpYear">Input_Sheet_Template!$E$160</definedName>
    <definedName name="ProcEqpCap">'Plant Scaling'!$E$27</definedName>
    <definedName name="Process_cont">Input_Sheet_Template!$E$94</definedName>
    <definedName name="prod_maint">Input_Sheet_Template!$E$121</definedName>
    <definedName name="Project_cont">Input_Sheet_Template!$E$95</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Input_Sheet_Template!$E$119</definedName>
    <definedName name="replace_factor">Input_Sheet_Template!$C$154</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Input_Sheet_Template!$E$155</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Input_Sheet_Template!$E$92</definedName>
    <definedName name="solidwaste_treat">Input_Sheet_Template!$E$153</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Input_Sheet_Template!$A$80</definedName>
    <definedName name="START_FEED">Input_Sheet_Template!$A$76</definedName>
    <definedName name="START_NONE_BYPROD">Input_Sheet_Template!$A$142</definedName>
    <definedName name="START_NONE_FEED">Input_Sheet_Template!$A$141</definedName>
    <definedName name="START_NONE_TOP">Input_Sheet_Template!$A$136</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Input_Sheet_Template!$E$157</definedName>
    <definedName name="tax_ins_rate">Input_Sheet_Template!$C$117</definedName>
    <definedName name="tax_insurance">Input_Sheet_Template!$E$118</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Input_Sheet_Template!$C$135</definedName>
    <definedName name="TMP_NonE_Feed">Input_Sheet_Template!$C$131</definedName>
    <definedName name="TMP_NonE_StartPrice">Input_Sheet_Template!$C$132</definedName>
    <definedName name="TMP_NonE_StartYrCost">Input_Sheet_Template!$C$134</definedName>
    <definedName name="TMP_NonE_Type">Input_Sheet_Template!$B$131</definedName>
    <definedName name="TMP_NonE_Usage">Input_Sheet_Template!$C$133</definedName>
    <definedName name="TMP_NonE_Usage_txt">Input_Sheet_Template!$B$132</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Input_Sheet_Template!$C$148</definedName>
    <definedName name="total_cap">Input_Sheet_Template!$C$108</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Input_Sheet_Template!$C$146</definedName>
    <definedName name="total_non_energy_byproduct_credit">Input_Sheet_Template!$C$144</definedName>
    <definedName name="Total_Non_Energy_Feed_Cost">Input_Sheet_Template!$C$143</definedName>
    <definedName name="total_other_raw">Input_Sheet_Template!$E$151</definedName>
    <definedName name="total_tax_rate">Input_Sheet_Template!$C$55</definedName>
    <definedName name="total_utilities">Input_Sheet_Template!$C$147</definedName>
    <definedName name="total_var">Input_Sheet_Template!$E$163</definedName>
    <definedName name="upper_capacity_limit">'Plant Scaling'!$C$8</definedName>
    <definedName name="Upstream_CO2_tax">Input_Sheet_Template!$E$161</definedName>
    <definedName name="Upstream_CO2_taxpYear">Input_Sheet_Template!$E$162</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Input_Sheet_Template!$D$78</definedName>
    <definedName name="utilityIndustrial_Electricity_Usage">Input_Sheet_Template!$E$78</definedName>
    <definedName name="VAR_FEED_VALUES">Input_Sheet_Template!$B$65:$D$70</definedName>
    <definedName name="var_misc">Input_Sheet_Template!$E$150</definedName>
    <definedName name="VAR_NonE_FEED_VALUES">Input_Sheet_Template!$B$131:$D$135</definedName>
    <definedName name="waste_treat">Input_Sheet_Template!$E$152</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4" i="13" l="1"/>
  <c r="C141" i="12" l="1"/>
  <c r="CZ141" i="12" s="1"/>
  <c r="C140" i="12"/>
  <c r="CT140" i="12" s="1"/>
  <c r="BE139" i="12"/>
  <c r="AQ139" i="12"/>
  <c r="C139" i="12"/>
  <c r="CV139" i="12" s="1"/>
  <c r="C138" i="12"/>
  <c r="CW138" i="12" s="1"/>
  <c r="C137" i="12"/>
  <c r="CW137" i="12" s="1"/>
  <c r="CA136" i="12"/>
  <c r="AY136" i="12"/>
  <c r="C136" i="12"/>
  <c r="CW136" i="12" s="1"/>
  <c r="C135" i="12"/>
  <c r="CC135" i="12" s="1"/>
  <c r="C134" i="12"/>
  <c r="CT134" i="12" s="1"/>
  <c r="C133" i="12"/>
  <c r="CV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CU139" i="12" l="1"/>
  <c r="BI137" i="12"/>
  <c r="BY137" i="12"/>
  <c r="I140" i="12"/>
  <c r="M136" i="12"/>
  <c r="AI136" i="12"/>
  <c r="AO139" i="12"/>
  <c r="BN133" i="12"/>
  <c r="AT134" i="12"/>
  <c r="BI139" i="12"/>
  <c r="AA140" i="12"/>
  <c r="U133" i="12"/>
  <c r="CE133" i="12"/>
  <c r="BE134" i="12"/>
  <c r="CQ136" i="12"/>
  <c r="M139" i="12"/>
  <c r="BM139" i="12"/>
  <c r="AO140" i="12"/>
  <c r="AQ133" i="12"/>
  <c r="BF133" i="12"/>
  <c r="M133" i="12"/>
  <c r="AI134" i="12"/>
  <c r="BY133" i="12"/>
  <c r="CG133" i="12"/>
  <c r="BG140" i="12"/>
  <c r="S133" i="12"/>
  <c r="AI133" i="12"/>
  <c r="S139" i="12"/>
  <c r="BY139" i="12"/>
  <c r="AP133" i="12"/>
  <c r="CU133" i="12"/>
  <c r="CG135" i="12"/>
  <c r="Q137" i="12"/>
  <c r="U139" i="12"/>
  <c r="CE139" i="12"/>
  <c r="BU140" i="12"/>
  <c r="AG137" i="12"/>
  <c r="AI139" i="12"/>
  <c r="CG139" i="12"/>
  <c r="CM140" i="12"/>
  <c r="N134" i="12"/>
  <c r="BI133" i="12"/>
  <c r="Y134" i="12"/>
  <c r="AO141" i="12"/>
  <c r="AC138" i="12"/>
  <c r="BE138" i="12"/>
  <c r="CA138" i="12"/>
  <c r="R133" i="12"/>
  <c r="AK133" i="12"/>
  <c r="BG133" i="12"/>
  <c r="CD133" i="12"/>
  <c r="CW133" i="12"/>
  <c r="P134" i="12"/>
  <c r="Z134" i="12"/>
  <c r="AK134" i="12"/>
  <c r="AV134" i="12"/>
  <c r="BF134" i="12"/>
  <c r="BQ134" i="12"/>
  <c r="CB134" i="12"/>
  <c r="CM134" i="12"/>
  <c r="CZ134" i="12"/>
  <c r="CW135" i="12"/>
  <c r="AS136" i="12"/>
  <c r="CE136" i="12"/>
  <c r="AA137" i="12"/>
  <c r="BM137" i="12"/>
  <c r="I138" i="12"/>
  <c r="AE138" i="12"/>
  <c r="BG138" i="12"/>
  <c r="CE138" i="12"/>
  <c r="Q139" i="12"/>
  <c r="AK139" i="12"/>
  <c r="BG139" i="12"/>
  <c r="CC139" i="12"/>
  <c r="CW139" i="12"/>
  <c r="AG140" i="12"/>
  <c r="BM140" i="12"/>
  <c r="CS140" i="12"/>
  <c r="AW141" i="12"/>
  <c r="CK134" i="12"/>
  <c r="Q134" i="12"/>
  <c r="AW134" i="12"/>
  <c r="BG134" i="12"/>
  <c r="BR134" i="12"/>
  <c r="CC134" i="12"/>
  <c r="CO134" i="12"/>
  <c r="AU136" i="12"/>
  <c r="CO136" i="12"/>
  <c r="AC137" i="12"/>
  <c r="BW137" i="12"/>
  <c r="K138" i="12"/>
  <c r="AI138" i="12"/>
  <c r="BI138" i="12"/>
  <c r="CK138" i="12"/>
  <c r="AI140" i="12"/>
  <c r="BO140" i="12"/>
  <c r="CU140" i="12"/>
  <c r="BE141" i="12"/>
  <c r="CX134" i="12"/>
  <c r="AX134" i="12"/>
  <c r="CP134" i="12"/>
  <c r="AO138" i="12"/>
  <c r="BK138" i="12"/>
  <c r="CM138" i="12"/>
  <c r="BM141" i="12"/>
  <c r="Z133" i="12"/>
  <c r="AS133" i="12"/>
  <c r="BO133" i="12"/>
  <c r="CL133" i="12"/>
  <c r="I134" i="12"/>
  <c r="S134" i="12"/>
  <c r="AD134" i="12"/>
  <c r="AO134" i="12"/>
  <c r="AY134" i="12"/>
  <c r="BJ134" i="12"/>
  <c r="BU134" i="12"/>
  <c r="CE134" i="12"/>
  <c r="CR134" i="12"/>
  <c r="U135" i="12"/>
  <c r="O136" i="12"/>
  <c r="BI136" i="12"/>
  <c r="CU136" i="12"/>
  <c r="AQ137" i="12"/>
  <c r="CC137" i="12"/>
  <c r="O138" i="12"/>
  <c r="AQ138" i="12"/>
  <c r="BO138" i="12"/>
  <c r="CQ138" i="12"/>
  <c r="Y139" i="12"/>
  <c r="AS139" i="12"/>
  <c r="BO139" i="12"/>
  <c r="CK139" i="12"/>
  <c r="K140" i="12"/>
  <c r="AQ140" i="12"/>
  <c r="BW140" i="12"/>
  <c r="I141" i="12"/>
  <c r="BU141" i="12"/>
  <c r="AC134" i="12"/>
  <c r="J134" i="12"/>
  <c r="BL134" i="12"/>
  <c r="AK135" i="12"/>
  <c r="AS137" i="12"/>
  <c r="CM137" i="12"/>
  <c r="S138" i="12"/>
  <c r="AS138" i="12"/>
  <c r="BU138" i="12"/>
  <c r="AA139" i="12"/>
  <c r="AW139" i="12"/>
  <c r="BQ139" i="12"/>
  <c r="CM139" i="12"/>
  <c r="Q140" i="12"/>
  <c r="AW140" i="12"/>
  <c r="CC140" i="12"/>
  <c r="Q141" i="12"/>
  <c r="CC141" i="12"/>
  <c r="BO134" i="12"/>
  <c r="AL134" i="12"/>
  <c r="H134" i="12"/>
  <c r="BI134" i="12"/>
  <c r="M138" i="12"/>
  <c r="AA133" i="12"/>
  <c r="BQ133" i="12"/>
  <c r="U134" i="12"/>
  <c r="AP134" i="12"/>
  <c r="BV134" i="12"/>
  <c r="CS134" i="12"/>
  <c r="BK136" i="12"/>
  <c r="J133" i="12"/>
  <c r="AC133" i="12"/>
  <c r="AY133" i="12"/>
  <c r="BV133" i="12"/>
  <c r="CO133" i="12"/>
  <c r="K134" i="12"/>
  <c r="V134" i="12"/>
  <c r="AG134" i="12"/>
  <c r="AQ134" i="12"/>
  <c r="BB134" i="12"/>
  <c r="BM134" i="12"/>
  <c r="BW134" i="12"/>
  <c r="CH134" i="12"/>
  <c r="CU134" i="12"/>
  <c r="BA135" i="12"/>
  <c r="AC136" i="12"/>
  <c r="BO136" i="12"/>
  <c r="K137" i="12"/>
  <c r="AW137" i="12"/>
  <c r="CO137" i="12"/>
  <c r="Y138" i="12"/>
  <c r="AU138" i="12"/>
  <c r="BW138" i="12"/>
  <c r="I139" i="12"/>
  <c r="AC139" i="12"/>
  <c r="AY139" i="12"/>
  <c r="BU139" i="12"/>
  <c r="CO139" i="12"/>
  <c r="S140" i="12"/>
  <c r="AY140" i="12"/>
  <c r="CE140" i="12"/>
  <c r="Y141" i="12"/>
  <c r="CK141" i="12"/>
  <c r="BZ134" i="12"/>
  <c r="AA134" i="12"/>
  <c r="R134" i="12"/>
  <c r="AN134" i="12"/>
  <c r="BT134" i="12"/>
  <c r="CD134" i="12"/>
  <c r="I135" i="12"/>
  <c r="AX133" i="12"/>
  <c r="CM133" i="12"/>
  <c r="AF134" i="12"/>
  <c r="BA134" i="12"/>
  <c r="CG134" i="12"/>
  <c r="S136" i="12"/>
  <c r="K133" i="12"/>
  <c r="AH133" i="12"/>
  <c r="BA133" i="12"/>
  <c r="BW133" i="12"/>
  <c r="CT133" i="12"/>
  <c r="M134" i="12"/>
  <c r="X134" i="12"/>
  <c r="AH134" i="12"/>
  <c r="AS134" i="12"/>
  <c r="BD134" i="12"/>
  <c r="BN134" i="12"/>
  <c r="BY134" i="12"/>
  <c r="CJ134" i="12"/>
  <c r="CW134" i="12"/>
  <c r="BQ135" i="12"/>
  <c r="AE136" i="12"/>
  <c r="BY136" i="12"/>
  <c r="M137" i="12"/>
  <c r="BG137" i="12"/>
  <c r="CS137" i="12"/>
  <c r="AA138" i="12"/>
  <c r="AY138" i="12"/>
  <c r="BY138" i="12"/>
  <c r="K139" i="12"/>
  <c r="AG139" i="12"/>
  <c r="BA139" i="12"/>
  <c r="BW139" i="12"/>
  <c r="CS139" i="12"/>
  <c r="Y140" i="12"/>
  <c r="BE140" i="12"/>
  <c r="CK140" i="12"/>
  <c r="AG141" i="12"/>
  <c r="CS141" i="12"/>
  <c r="N133" i="12"/>
  <c r="V133" i="12"/>
  <c r="AD133" i="12"/>
  <c r="AL133" i="12"/>
  <c r="AT133" i="12"/>
  <c r="BB133" i="12"/>
  <c r="BJ133" i="12"/>
  <c r="BR133" i="12"/>
  <c r="BZ133" i="12"/>
  <c r="CH133" i="12"/>
  <c r="CP133" i="12"/>
  <c r="CX133" i="12"/>
  <c r="L134" i="12"/>
  <c r="T134" i="12"/>
  <c r="AB134" i="12"/>
  <c r="AJ134" i="12"/>
  <c r="AR134" i="12"/>
  <c r="AZ134" i="12"/>
  <c r="BH134" i="12"/>
  <c r="BP134" i="12"/>
  <c r="BX134" i="12"/>
  <c r="CF134" i="12"/>
  <c r="CN134" i="12"/>
  <c r="CV134" i="12"/>
  <c r="J135" i="12"/>
  <c r="W135" i="12"/>
  <c r="AM135" i="12"/>
  <c r="BC135" i="12"/>
  <c r="BS135" i="12"/>
  <c r="CI135" i="12"/>
  <c r="CY135" i="12"/>
  <c r="U136" i="12"/>
  <c r="AK136" i="12"/>
  <c r="BA136" i="12"/>
  <c r="BQ136" i="12"/>
  <c r="CG136" i="12"/>
  <c r="S137" i="12"/>
  <c r="AI137" i="12"/>
  <c r="AY137" i="12"/>
  <c r="BO137" i="12"/>
  <c r="CE137" i="12"/>
  <c r="CU137" i="12"/>
  <c r="Q138" i="12"/>
  <c r="AG138" i="12"/>
  <c r="AW138" i="12"/>
  <c r="BM138" i="12"/>
  <c r="CC138" i="12"/>
  <c r="CS138" i="12"/>
  <c r="W133" i="12"/>
  <c r="AE133" i="12"/>
  <c r="AM133" i="12"/>
  <c r="BC133" i="12"/>
  <c r="BK133" i="12"/>
  <c r="CA133" i="12"/>
  <c r="CI133" i="12"/>
  <c r="CQ133" i="12"/>
  <c r="CY133" i="12"/>
  <c r="K135" i="12"/>
  <c r="Y135" i="12"/>
  <c r="AO135" i="12"/>
  <c r="BE135" i="12"/>
  <c r="BU135" i="12"/>
  <c r="CK135" i="12"/>
  <c r="CT136" i="12"/>
  <c r="CL136" i="12"/>
  <c r="CD136" i="12"/>
  <c r="BV136" i="12"/>
  <c r="BN136" i="12"/>
  <c r="BF136" i="12"/>
  <c r="AX136" i="12"/>
  <c r="AP136" i="12"/>
  <c r="AH136" i="12"/>
  <c r="Z136" i="12"/>
  <c r="R136" i="12"/>
  <c r="J136" i="12"/>
  <c r="CZ136" i="12"/>
  <c r="CR136" i="12"/>
  <c r="CJ136" i="12"/>
  <c r="CB136" i="12"/>
  <c r="BT136" i="12"/>
  <c r="BL136" i="12"/>
  <c r="BD136" i="12"/>
  <c r="AV136" i="12"/>
  <c r="AN136" i="12"/>
  <c r="AF136" i="12"/>
  <c r="X136" i="12"/>
  <c r="P136" i="12"/>
  <c r="H136" i="12"/>
  <c r="CX136" i="12"/>
  <c r="CP136" i="12"/>
  <c r="CH136" i="12"/>
  <c r="BZ136" i="12"/>
  <c r="BR136" i="12"/>
  <c r="BJ136" i="12"/>
  <c r="BB136" i="12"/>
  <c r="AT136" i="12"/>
  <c r="AL136" i="12"/>
  <c r="AD136" i="12"/>
  <c r="V136" i="12"/>
  <c r="N136" i="12"/>
  <c r="CV136" i="12"/>
  <c r="CN136" i="12"/>
  <c r="CF136" i="12"/>
  <c r="BX136" i="12"/>
  <c r="BP136" i="12"/>
  <c r="BH136" i="12"/>
  <c r="AZ136" i="12"/>
  <c r="AR136" i="12"/>
  <c r="AJ136" i="12"/>
  <c r="AB136" i="12"/>
  <c r="T136" i="12"/>
  <c r="L136" i="12"/>
  <c r="W136" i="12"/>
  <c r="AM136" i="12"/>
  <c r="BC136" i="12"/>
  <c r="BS136" i="12"/>
  <c r="CI136" i="12"/>
  <c r="CY136" i="12"/>
  <c r="U137" i="12"/>
  <c r="AK137" i="12"/>
  <c r="BA137" i="12"/>
  <c r="BQ137" i="12"/>
  <c r="CG137" i="12"/>
  <c r="CU138" i="12"/>
  <c r="AU133" i="12"/>
  <c r="H133" i="12"/>
  <c r="X133" i="12"/>
  <c r="AN133" i="12"/>
  <c r="BL133" i="12"/>
  <c r="CJ133" i="12"/>
  <c r="CZ133" i="12"/>
  <c r="L135" i="12"/>
  <c r="AA135" i="12"/>
  <c r="AQ135" i="12"/>
  <c r="BG135" i="12"/>
  <c r="BW135" i="12"/>
  <c r="CM135" i="12"/>
  <c r="I136" i="12"/>
  <c r="Y136" i="12"/>
  <c r="AO136" i="12"/>
  <c r="BE136" i="12"/>
  <c r="BU136" i="12"/>
  <c r="CK136" i="12"/>
  <c r="CZ137" i="12"/>
  <c r="CR137" i="12"/>
  <c r="CJ137" i="12"/>
  <c r="CB137" i="12"/>
  <c r="BT137" i="12"/>
  <c r="BL137" i="12"/>
  <c r="BD137" i="12"/>
  <c r="AV137" i="12"/>
  <c r="AN137" i="12"/>
  <c r="AF137" i="12"/>
  <c r="X137" i="12"/>
  <c r="P137" i="12"/>
  <c r="H137" i="12"/>
  <c r="CX137" i="12"/>
  <c r="CP137" i="12"/>
  <c r="CH137" i="12"/>
  <c r="BZ137" i="12"/>
  <c r="BR137" i="12"/>
  <c r="BJ137" i="12"/>
  <c r="BB137" i="12"/>
  <c r="AT137" i="12"/>
  <c r="AL137" i="12"/>
  <c r="AD137" i="12"/>
  <c r="V137" i="12"/>
  <c r="N137" i="12"/>
  <c r="CV137" i="12"/>
  <c r="CN137" i="12"/>
  <c r="CF137" i="12"/>
  <c r="BX137" i="12"/>
  <c r="BP137" i="12"/>
  <c r="BH137" i="12"/>
  <c r="AZ137" i="12"/>
  <c r="AR137" i="12"/>
  <c r="AJ137" i="12"/>
  <c r="AB137" i="12"/>
  <c r="T137" i="12"/>
  <c r="L137" i="12"/>
  <c r="CT137" i="12"/>
  <c r="CL137" i="12"/>
  <c r="CD137" i="12"/>
  <c r="BV137" i="12"/>
  <c r="BN137" i="12"/>
  <c r="BF137" i="12"/>
  <c r="AX137" i="12"/>
  <c r="AP137" i="12"/>
  <c r="AH137" i="12"/>
  <c r="Z137" i="12"/>
  <c r="R137" i="12"/>
  <c r="J137" i="12"/>
  <c r="W137" i="12"/>
  <c r="AM137" i="12"/>
  <c r="BC137" i="12"/>
  <c r="BS137" i="12"/>
  <c r="CI137" i="12"/>
  <c r="CY137" i="12"/>
  <c r="U138" i="12"/>
  <c r="AK138" i="12"/>
  <c r="BA138" i="12"/>
  <c r="BQ138" i="12"/>
  <c r="CG138" i="12"/>
  <c r="O133" i="12"/>
  <c r="BS133" i="12"/>
  <c r="P133" i="12"/>
  <c r="AF133" i="12"/>
  <c r="AV133" i="12"/>
  <c r="BD133" i="12"/>
  <c r="BT133" i="12"/>
  <c r="CB133" i="12"/>
  <c r="CR133" i="12"/>
  <c r="I133" i="12"/>
  <c r="Q133" i="12"/>
  <c r="Y133" i="12"/>
  <c r="AG133" i="12"/>
  <c r="AO133" i="12"/>
  <c r="AW133" i="12"/>
  <c r="BE133" i="12"/>
  <c r="BM133" i="12"/>
  <c r="BU133" i="12"/>
  <c r="CC133" i="12"/>
  <c r="CK133" i="12"/>
  <c r="CS133" i="12"/>
  <c r="O134" i="12"/>
  <c r="W134" i="12"/>
  <c r="AE134" i="12"/>
  <c r="AM134" i="12"/>
  <c r="AU134" i="12"/>
  <c r="BC134" i="12"/>
  <c r="BK134" i="12"/>
  <c r="BS134" i="12"/>
  <c r="CA134" i="12"/>
  <c r="CI134" i="12"/>
  <c r="CQ134" i="12"/>
  <c r="CY134" i="12"/>
  <c r="M135" i="12"/>
  <c r="AC135" i="12"/>
  <c r="AS135" i="12"/>
  <c r="BI135" i="12"/>
  <c r="BY135" i="12"/>
  <c r="CO135" i="12"/>
  <c r="K136" i="12"/>
  <c r="AA136" i="12"/>
  <c r="AQ136" i="12"/>
  <c r="BG136" i="12"/>
  <c r="BW136" i="12"/>
  <c r="CM136" i="12"/>
  <c r="I137" i="12"/>
  <c r="Y137" i="12"/>
  <c r="AO137" i="12"/>
  <c r="BE137" i="12"/>
  <c r="BU137" i="12"/>
  <c r="CK137" i="12"/>
  <c r="CX138" i="12"/>
  <c r="CP138" i="12"/>
  <c r="CH138" i="12"/>
  <c r="BZ138" i="12"/>
  <c r="BR138" i="12"/>
  <c r="BJ138" i="12"/>
  <c r="BB138" i="12"/>
  <c r="AT138" i="12"/>
  <c r="AL138" i="12"/>
  <c r="AD138" i="12"/>
  <c r="V138" i="12"/>
  <c r="N138" i="12"/>
  <c r="CV138" i="12"/>
  <c r="CN138" i="12"/>
  <c r="CF138" i="12"/>
  <c r="BX138" i="12"/>
  <c r="BP138" i="12"/>
  <c r="BH138" i="12"/>
  <c r="AZ138" i="12"/>
  <c r="AR138" i="12"/>
  <c r="AJ138" i="12"/>
  <c r="AB138" i="12"/>
  <c r="T138" i="12"/>
  <c r="L138" i="12"/>
  <c r="CT138" i="12"/>
  <c r="CL138" i="12"/>
  <c r="CD138" i="12"/>
  <c r="BV138" i="12"/>
  <c r="BN138" i="12"/>
  <c r="BF138" i="12"/>
  <c r="AX138" i="12"/>
  <c r="AP138" i="12"/>
  <c r="AH138" i="12"/>
  <c r="Z138" i="12"/>
  <c r="R138" i="12"/>
  <c r="J138" i="12"/>
  <c r="CZ138" i="12"/>
  <c r="CR138" i="12"/>
  <c r="CJ138" i="12"/>
  <c r="CB138" i="12"/>
  <c r="BT138" i="12"/>
  <c r="BL138" i="12"/>
  <c r="BD138" i="12"/>
  <c r="AV138" i="12"/>
  <c r="AN138" i="12"/>
  <c r="AF138" i="12"/>
  <c r="X138" i="12"/>
  <c r="P138" i="12"/>
  <c r="H138" i="12"/>
  <c r="W138" i="12"/>
  <c r="AM138" i="12"/>
  <c r="BC138" i="12"/>
  <c r="BS138" i="12"/>
  <c r="CI138" i="12"/>
  <c r="CY138" i="12"/>
  <c r="O135" i="12"/>
  <c r="AE135" i="12"/>
  <c r="AU135" i="12"/>
  <c r="BK135" i="12"/>
  <c r="CA135" i="12"/>
  <c r="CQ135" i="12"/>
  <c r="AG135" i="12"/>
  <c r="CV135" i="12"/>
  <c r="CN135" i="12"/>
  <c r="CF135" i="12"/>
  <c r="BX135" i="12"/>
  <c r="BP135" i="12"/>
  <c r="BH135" i="12"/>
  <c r="AZ135" i="12"/>
  <c r="AR135" i="12"/>
  <c r="AJ135" i="12"/>
  <c r="AB135" i="12"/>
  <c r="T135" i="12"/>
  <c r="CT135" i="12"/>
  <c r="CL135" i="12"/>
  <c r="CD135" i="12"/>
  <c r="BV135" i="12"/>
  <c r="BN135" i="12"/>
  <c r="BF135" i="12"/>
  <c r="AX135" i="12"/>
  <c r="AP135" i="12"/>
  <c r="AH135" i="12"/>
  <c r="Z135" i="12"/>
  <c r="R135" i="12"/>
  <c r="CZ135" i="12"/>
  <c r="CR135" i="12"/>
  <c r="CJ135" i="12"/>
  <c r="CB135" i="12"/>
  <c r="BT135" i="12"/>
  <c r="BL135" i="12"/>
  <c r="BD135" i="12"/>
  <c r="AV135" i="12"/>
  <c r="AN135" i="12"/>
  <c r="AF135" i="12"/>
  <c r="X135" i="12"/>
  <c r="P135" i="12"/>
  <c r="CX135" i="12"/>
  <c r="CP135" i="12"/>
  <c r="CH135" i="12"/>
  <c r="BZ135" i="12"/>
  <c r="BR135" i="12"/>
  <c r="BJ135" i="12"/>
  <c r="BB135" i="12"/>
  <c r="AT135" i="12"/>
  <c r="AL135" i="12"/>
  <c r="AD135" i="12"/>
  <c r="V135" i="12"/>
  <c r="N135" i="12"/>
  <c r="Q135" i="12"/>
  <c r="AW135" i="12"/>
  <c r="BM135" i="12"/>
  <c r="CS135" i="12"/>
  <c r="L133" i="12"/>
  <c r="T133" i="12"/>
  <c r="AB133" i="12"/>
  <c r="AJ133" i="12"/>
  <c r="AR133" i="12"/>
  <c r="AZ133" i="12"/>
  <c r="BH133" i="12"/>
  <c r="BP133" i="12"/>
  <c r="BX133" i="12"/>
  <c r="CF133" i="12"/>
  <c r="CN133" i="12"/>
  <c r="CL134" i="12"/>
  <c r="H135" i="12"/>
  <c r="S135" i="12"/>
  <c r="AI135" i="12"/>
  <c r="AY135" i="12"/>
  <c r="BO135" i="12"/>
  <c r="CE135" i="12"/>
  <c r="CU135" i="12"/>
  <c r="Q136" i="12"/>
  <c r="AG136" i="12"/>
  <c r="AW136" i="12"/>
  <c r="BM136" i="12"/>
  <c r="CC136" i="12"/>
  <c r="CS136" i="12"/>
  <c r="O137" i="12"/>
  <c r="AE137" i="12"/>
  <c r="AU137" i="12"/>
  <c r="BK137" i="12"/>
  <c r="CA137" i="12"/>
  <c r="CQ137" i="12"/>
  <c r="CO138" i="12"/>
  <c r="N139" i="12"/>
  <c r="V139" i="12"/>
  <c r="AD139" i="12"/>
  <c r="AL139" i="12"/>
  <c r="AT139" i="12"/>
  <c r="BB139" i="12"/>
  <c r="BJ139" i="12"/>
  <c r="BR139" i="12"/>
  <c r="BZ139" i="12"/>
  <c r="CH139" i="12"/>
  <c r="CP139" i="12"/>
  <c r="CX139" i="12"/>
  <c r="L140" i="12"/>
  <c r="T140" i="12"/>
  <c r="AB140" i="12"/>
  <c r="AJ140" i="12"/>
  <c r="AR140" i="12"/>
  <c r="AZ140" i="12"/>
  <c r="BH140" i="12"/>
  <c r="BP140" i="12"/>
  <c r="BX140" i="12"/>
  <c r="CF140" i="12"/>
  <c r="CN140" i="12"/>
  <c r="CV140" i="12"/>
  <c r="J141" i="12"/>
  <c r="R141" i="12"/>
  <c r="Z141" i="12"/>
  <c r="AH141" i="12"/>
  <c r="AP141" i="12"/>
  <c r="AX141" i="12"/>
  <c r="BF141" i="12"/>
  <c r="BN141" i="12"/>
  <c r="BV141" i="12"/>
  <c r="CD141" i="12"/>
  <c r="CL141" i="12"/>
  <c r="CT141" i="12"/>
  <c r="O139" i="12"/>
  <c r="W139" i="12"/>
  <c r="AE139" i="12"/>
  <c r="AM139" i="12"/>
  <c r="AU139" i="12"/>
  <c r="BC139" i="12"/>
  <c r="BK139" i="12"/>
  <c r="BS139" i="12"/>
  <c r="CA139" i="12"/>
  <c r="CI139" i="12"/>
  <c r="CQ139" i="12"/>
  <c r="CY139" i="12"/>
  <c r="M140" i="12"/>
  <c r="U140" i="12"/>
  <c r="AC140" i="12"/>
  <c r="AK140" i="12"/>
  <c r="AS140" i="12"/>
  <c r="BA140" i="12"/>
  <c r="BI140" i="12"/>
  <c r="BQ140" i="12"/>
  <c r="BY140" i="12"/>
  <c r="CG140" i="12"/>
  <c r="CO140" i="12"/>
  <c r="CW140" i="12"/>
  <c r="K141" i="12"/>
  <c r="S141" i="12"/>
  <c r="AA141" i="12"/>
  <c r="AI141" i="12"/>
  <c r="AQ141" i="12"/>
  <c r="AY141" i="12"/>
  <c r="BG141" i="12"/>
  <c r="BO141" i="12"/>
  <c r="BW141" i="12"/>
  <c r="CE141" i="12"/>
  <c r="CM141" i="12"/>
  <c r="CU141" i="12"/>
  <c r="H139" i="12"/>
  <c r="P139" i="12"/>
  <c r="X139" i="12"/>
  <c r="AF139" i="12"/>
  <c r="AN139" i="12"/>
  <c r="AV139" i="12"/>
  <c r="BD139" i="12"/>
  <c r="BL139" i="12"/>
  <c r="BT139" i="12"/>
  <c r="CB139" i="12"/>
  <c r="CJ139" i="12"/>
  <c r="CR139" i="12"/>
  <c r="CZ139" i="12"/>
  <c r="N140" i="12"/>
  <c r="V140" i="12"/>
  <c r="AD140" i="12"/>
  <c r="AL140" i="12"/>
  <c r="AT140" i="12"/>
  <c r="BB140" i="12"/>
  <c r="BJ140" i="12"/>
  <c r="BR140" i="12"/>
  <c r="BZ140" i="12"/>
  <c r="CH140" i="12"/>
  <c r="CP140" i="12"/>
  <c r="CX140" i="12"/>
  <c r="L141" i="12"/>
  <c r="T141" i="12"/>
  <c r="AB141" i="12"/>
  <c r="AJ141" i="12"/>
  <c r="AR141" i="12"/>
  <c r="AZ141" i="12"/>
  <c r="BH141" i="12"/>
  <c r="BP141" i="12"/>
  <c r="BX141" i="12"/>
  <c r="CF141" i="12"/>
  <c r="CN141" i="12"/>
  <c r="CV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J139" i="12"/>
  <c r="R139" i="12"/>
  <c r="Z139" i="12"/>
  <c r="AH139" i="12"/>
  <c r="AP139" i="12"/>
  <c r="AX139" i="12"/>
  <c r="BF139" i="12"/>
  <c r="BN139" i="12"/>
  <c r="BV139" i="12"/>
  <c r="CD139" i="12"/>
  <c r="CL139" i="12"/>
  <c r="CT139"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L139" i="12"/>
  <c r="T139" i="12"/>
  <c r="AB139" i="12"/>
  <c r="AJ139" i="12"/>
  <c r="AR139" i="12"/>
  <c r="AZ139" i="12"/>
  <c r="BH139" i="12"/>
  <c r="BP139" i="12"/>
  <c r="BX139" i="12"/>
  <c r="CF139" i="12"/>
  <c r="CN139"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J41" i="33"/>
  <c r="Q134" i="15" l="1"/>
  <c r="Q133" i="15"/>
  <c r="Q132" i="15"/>
  <c r="Q131" i="15"/>
  <c r="P134" i="15"/>
  <c r="P133" i="15"/>
  <c r="P132" i="15"/>
  <c r="P131" i="15"/>
  <c r="F135" i="15"/>
  <c r="F134" i="15"/>
  <c r="F132" i="15"/>
  <c r="F131" i="15"/>
  <c r="B135" i="15"/>
  <c r="B134" i="15"/>
  <c r="B132" i="15"/>
  <c r="B131" i="15"/>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4" i="6"/>
  <c r="C143" i="6"/>
  <c r="C3" i="24"/>
  <c r="C36"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2" i="6"/>
  <c r="E112" i="6" s="1"/>
  <c r="C12" i="35"/>
  <c r="F13" i="24"/>
  <c r="F14" i="24"/>
  <c r="F15" i="24"/>
  <c r="F16" i="24"/>
  <c r="F17" i="24"/>
  <c r="F18" i="24"/>
  <c r="F19" i="24"/>
  <c r="F20" i="24"/>
  <c r="F21" i="24"/>
  <c r="F22" i="24"/>
  <c r="F23" i="24"/>
  <c r="F24" i="24"/>
  <c r="F25" i="24"/>
  <c r="F26" i="24"/>
  <c r="E91" i="6"/>
  <c r="C91" i="6"/>
  <c r="E149" i="6"/>
  <c r="C149" i="6"/>
  <c r="E110" i="6"/>
  <c r="C110" i="6"/>
  <c r="E101" i="6"/>
  <c r="C101" i="6"/>
  <c r="C9" i="35"/>
  <c r="B15" i="24"/>
  <c r="B16" i="24"/>
  <c r="B17" i="24"/>
  <c r="B18" i="24"/>
  <c r="B19" i="24"/>
  <c r="B20" i="24"/>
  <c r="B21" i="24"/>
  <c r="B22" i="24"/>
  <c r="B23" i="24"/>
  <c r="B24" i="24"/>
  <c r="B25" i="24"/>
  <c r="B26" i="24"/>
  <c r="C131" i="6"/>
  <c r="B132"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3"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4"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AI507" i="11"/>
  <c r="D61" i="6"/>
  <c r="B186" i="15" l="1"/>
  <c r="Q65" i="15"/>
  <c r="B15" i="13"/>
  <c r="D54" i="119"/>
  <c r="D189" i="119"/>
  <c r="D191" i="119"/>
  <c r="G60" i="119"/>
  <c r="G189" i="119"/>
  <c r="G191" i="119"/>
  <c r="E56" i="119"/>
  <c r="E189" i="119"/>
  <c r="E249" i="119" s="1"/>
  <c r="E191" i="119"/>
  <c r="H6" i="119"/>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T9" i="12" s="1"/>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E276" i="11"/>
  <c r="AF276" i="11" s="1"/>
  <c r="AG276" i="11" s="1"/>
  <c r="AH276" i="11" s="1"/>
  <c r="AQ34" i="12"/>
  <c r="G7" i="12"/>
  <c r="H38" i="34"/>
  <c r="B116" i="34"/>
  <c r="G49" i="11"/>
  <c r="G50" i="11" s="1"/>
  <c r="G10" i="12"/>
  <c r="D102" i="6"/>
  <c r="E102" i="6" s="1"/>
  <c r="E49" i="11"/>
  <c r="E50" i="11" s="1"/>
  <c r="G59" i="12"/>
  <c r="G8" i="12"/>
  <c r="G28" i="12"/>
  <c r="AL28" i="12" s="1"/>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9" i="6"/>
  <c r="P5" i="19"/>
  <c r="AA94" i="12"/>
  <c r="AP34" i="12"/>
  <c r="AJ98" i="12"/>
  <c r="AR94" i="12"/>
  <c r="AE34" i="12"/>
  <c r="AE98" i="12"/>
  <c r="AT94" i="12"/>
  <c r="BD94" i="12"/>
  <c r="AU94" i="12"/>
  <c r="AI94" i="12"/>
  <c r="AS94" i="12"/>
  <c r="T98" i="12"/>
  <c r="N18" i="12"/>
  <c r="D93"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AY276" i="11"/>
  <c r="AZ276" i="11" s="1"/>
  <c r="BA276" i="11" s="1"/>
  <c r="BB276" i="11" s="1"/>
  <c r="BC276" i="11" s="1"/>
  <c r="BD276" i="11" s="1"/>
  <c r="BE276" i="11" s="1"/>
  <c r="BF276" i="11" s="1"/>
  <c r="BG276" i="11" s="1"/>
  <c r="BH276" i="11" s="1"/>
  <c r="BI276" i="11" s="1"/>
  <c r="BJ276" i="11" s="1"/>
  <c r="BK276" i="11" s="1"/>
  <c r="BL276" i="11" s="1"/>
  <c r="U95" i="12"/>
  <c r="AJ95" i="12"/>
  <c r="AB95" i="12"/>
  <c r="AA95" i="12"/>
  <c r="F28" i="12"/>
  <c r="F61" i="12"/>
  <c r="F92" i="12"/>
  <c r="F89" i="12"/>
  <c r="F11" i="12"/>
  <c r="F26" i="12"/>
  <c r="F10" i="12"/>
  <c r="F7" i="12"/>
  <c r="R7" i="12" s="1"/>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Z677" i="11"/>
  <c r="AA507" i="11" s="1"/>
  <c r="AB507" i="11" s="1"/>
  <c r="AC507" i="11" s="1"/>
  <c r="AD507" i="11" s="1"/>
  <c r="AE507" i="11" s="1"/>
  <c r="AF507" i="11" s="1"/>
  <c r="AG507" i="11" s="1"/>
  <c r="AH507" i="11" s="1"/>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4" i="6"/>
  <c r="E94"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5"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6" i="6"/>
  <c r="E96" i="6" s="1"/>
  <c r="D28" i="35"/>
  <c r="D33" i="35"/>
  <c r="F33" i="35" s="1"/>
  <c r="D18" i="35"/>
  <c r="D92" i="6"/>
  <c r="D24" i="35"/>
  <c r="C21" i="24" s="1"/>
  <c r="H21" i="24" s="1"/>
  <c r="D95"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8" i="6"/>
  <c r="I17" i="12"/>
  <c r="Z34" i="12"/>
  <c r="AM12" i="12"/>
  <c r="BN12" i="12"/>
  <c r="K17" i="12"/>
  <c r="T66" i="12"/>
  <c r="H12" i="12"/>
  <c r="M12" i="12"/>
  <c r="D97" i="6"/>
  <c r="E97"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8" i="6"/>
  <c r="D161"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C86" i="119"/>
  <c r="D86" i="119" s="1"/>
  <c r="F58" i="119"/>
  <c r="N101" i="119"/>
  <c r="N107" i="119"/>
  <c r="N103" i="119"/>
  <c r="N105" i="119"/>
  <c r="N104" i="119"/>
  <c r="N106" i="119"/>
  <c r="N102" i="119"/>
  <c r="B68" i="6"/>
  <c r="B67" i="6"/>
  <c r="B66" i="6"/>
  <c r="C281" i="15"/>
  <c r="C25" i="33"/>
  <c r="AF9" i="12" l="1"/>
  <c r="AJ32" i="12"/>
  <c r="B16"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2"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AI8" i="12"/>
  <c r="AJ8" i="12" s="1"/>
  <c r="AK8" i="12" s="1"/>
  <c r="AL8" i="12" s="1"/>
  <c r="AM8" i="12" s="1"/>
  <c r="AN8" i="12" s="1"/>
  <c r="AO8" i="12" s="1"/>
  <c r="AP8" i="12" s="1"/>
  <c r="AQ8" i="12" s="1"/>
  <c r="AR8" i="12" s="1"/>
  <c r="AS8" i="12" s="1"/>
  <c r="AT8" i="12" s="1"/>
  <c r="AU8" i="12" s="1"/>
  <c r="AV8" i="12" s="1"/>
  <c r="AW8" i="12" s="1"/>
  <c r="AX8" i="12" s="1"/>
  <c r="AY8" i="12" s="1"/>
  <c r="AZ8" i="12" s="1"/>
  <c r="BA8" i="12" s="1"/>
  <c r="BQ8" i="12"/>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33" i="34"/>
  <c r="C111" i="3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C67" i="6"/>
  <c r="D281" i="15"/>
  <c r="C282" i="15"/>
  <c r="AJ358" i="11" l="1"/>
  <c r="AK358" i="11" s="1"/>
  <c r="AL358" i="11" s="1"/>
  <c r="AM358" i="11" s="1"/>
  <c r="AN358" i="11" s="1"/>
  <c r="AO358" i="11" s="1"/>
  <c r="AP358" i="11" s="1"/>
  <c r="AQ358" i="11" s="1"/>
  <c r="AR358" i="11" s="1"/>
  <c r="AS358" i="11" s="1"/>
  <c r="AT358" i="11" s="1"/>
  <c r="AU358" i="11" s="1"/>
  <c r="AV358" i="11" s="1"/>
  <c r="AW358" i="11" s="1"/>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H27" i="24"/>
  <c r="C27" i="2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18" i="13" l="1"/>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B19" i="13" l="1"/>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B20" i="13" l="1"/>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E105"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c r="B75" i="15"/>
  <c r="A24" i="13" s="1"/>
  <c r="B29" i="17"/>
  <c r="C28" i="17"/>
  <c r="C73" i="15"/>
  <c r="C74" i="15" s="1"/>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B23" i="13" l="1"/>
  <c r="B24" i="13" s="1"/>
  <c r="B76" i="15"/>
  <c r="AF74" i="15"/>
  <c r="L74" i="15"/>
  <c r="A58" i="14"/>
  <c r="A106" i="14"/>
  <c r="C106" i="14" s="1"/>
  <c r="D74" i="15"/>
  <c r="M74" i="15" s="1"/>
  <c r="H74" i="15"/>
  <c r="K74" i="15"/>
  <c r="W74" i="15"/>
  <c r="C75" i="15"/>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B77" i="15" l="1"/>
  <c r="A26" i="13" s="1"/>
  <c r="A25" i="13"/>
  <c r="B25" i="13" s="1"/>
  <c r="B26" i="13" s="1"/>
  <c r="B27" i="13" s="1"/>
  <c r="C76" i="15"/>
  <c r="B78" i="15"/>
  <c r="A27" i="13" s="1"/>
  <c r="K75" i="15"/>
  <c r="L75" i="15"/>
  <c r="A107" i="14"/>
  <c r="C107" i="14" s="1"/>
  <c r="H75" i="15"/>
  <c r="AF75" i="15"/>
  <c r="W75" i="15"/>
  <c r="A59" i="14"/>
  <c r="D75" i="15"/>
  <c r="M75" i="15" s="1"/>
  <c r="C30" i="17"/>
  <c r="B31" i="17"/>
  <c r="A148" i="15"/>
  <c r="A195" i="15" s="1"/>
  <c r="A27" i="17"/>
  <c r="A75" i="15"/>
  <c r="E74" i="15"/>
  <c r="Q147" i="15"/>
  <c r="R147" i="15"/>
  <c r="V147" i="15"/>
  <c r="L147" i="15"/>
  <c r="T147" i="15"/>
  <c r="P147" i="15"/>
  <c r="M147" i="15"/>
  <c r="U147" i="15"/>
  <c r="I147" i="15"/>
  <c r="H147" i="15"/>
  <c r="N147" i="15"/>
  <c r="C147" i="15"/>
  <c r="E147" i="15"/>
  <c r="D147" i="15"/>
  <c r="A60" i="14" l="1"/>
  <c r="L76" i="15"/>
  <c r="H76" i="15"/>
  <c r="W76" i="15"/>
  <c r="C77" i="15"/>
  <c r="C78" i="15" s="1"/>
  <c r="A110" i="14" s="1"/>
  <c r="C110" i="14" s="1"/>
  <c r="AF76" i="15"/>
  <c r="A108" i="14"/>
  <c r="C108" i="14" s="1"/>
  <c r="D76" i="15"/>
  <c r="M76" i="15" s="1"/>
  <c r="K76" i="15"/>
  <c r="B79" i="15"/>
  <c r="A28" i="13" s="1"/>
  <c r="B28" i="13" s="1"/>
  <c r="C31" i="17"/>
  <c r="B32" i="17"/>
  <c r="P148" i="15"/>
  <c r="U148" i="15"/>
  <c r="L148" i="15"/>
  <c r="Q148" i="15"/>
  <c r="R148" i="15"/>
  <c r="M148" i="15"/>
  <c r="H148" i="15"/>
  <c r="N148" i="15"/>
  <c r="V148" i="15"/>
  <c r="T148" i="15"/>
  <c r="I148" i="15"/>
  <c r="A149" i="15"/>
  <c r="A196" i="15" s="1"/>
  <c r="A28" i="17"/>
  <c r="A76" i="15"/>
  <c r="E75" i="15"/>
  <c r="E148" i="15"/>
  <c r="D148" i="15"/>
  <c r="C148" i="15"/>
  <c r="C79" i="15" l="1"/>
  <c r="A63" i="14" s="1"/>
  <c r="A62" i="14"/>
  <c r="D78" i="15"/>
  <c r="M78" i="15" s="1"/>
  <c r="W78" i="15"/>
  <c r="K78" i="15"/>
  <c r="D77" i="15"/>
  <c r="M77" i="15" s="1"/>
  <c r="H77" i="15"/>
  <c r="A109" i="14"/>
  <c r="C109" i="14" s="1"/>
  <c r="K77" i="15"/>
  <c r="L77" i="15"/>
  <c r="W77" i="15"/>
  <c r="A61" i="14"/>
  <c r="AF77" i="15"/>
  <c r="L78" i="15"/>
  <c r="AF78" i="15"/>
  <c r="H78" i="15"/>
  <c r="B80" i="15"/>
  <c r="A29" i="13" s="1"/>
  <c r="B29" i="13" s="1"/>
  <c r="B33" i="17"/>
  <c r="C32" i="17"/>
  <c r="P149" i="15"/>
  <c r="Q149" i="15"/>
  <c r="H149" i="15"/>
  <c r="I149" i="15"/>
  <c r="N149" i="15"/>
  <c r="R149" i="15"/>
  <c r="V149" i="15"/>
  <c r="M149" i="15"/>
  <c r="L149" i="15"/>
  <c r="T149" i="15"/>
  <c r="U149" i="15"/>
  <c r="A29" i="17"/>
  <c r="A150" i="15"/>
  <c r="A197" i="15" s="1"/>
  <c r="A77" i="15"/>
  <c r="E76" i="15"/>
  <c r="D149" i="15"/>
  <c r="C149" i="15"/>
  <c r="E149" i="15"/>
  <c r="B30" i="13" l="1"/>
  <c r="K79" i="15"/>
  <c r="H79" i="15"/>
  <c r="W79" i="15"/>
  <c r="C80" i="15"/>
  <c r="A64" i="14" s="1"/>
  <c r="A111" i="14"/>
  <c r="C111" i="14" s="1"/>
  <c r="L79" i="15"/>
  <c r="D79" i="15"/>
  <c r="M79" i="15" s="1"/>
  <c r="AF79" i="15"/>
  <c r="B81" i="15"/>
  <c r="A30" i="13" s="1"/>
  <c r="C33" i="17"/>
  <c r="B34" i="17"/>
  <c r="A30" i="17"/>
  <c r="A151" i="15"/>
  <c r="A198" i="15" s="1"/>
  <c r="A78" i="15"/>
  <c r="E77" i="15"/>
  <c r="P150" i="15"/>
  <c r="U150" i="15"/>
  <c r="I150" i="15"/>
  <c r="R150" i="15"/>
  <c r="Q150" i="15"/>
  <c r="V150" i="15"/>
  <c r="L150" i="15"/>
  <c r="N150" i="15"/>
  <c r="T150" i="15"/>
  <c r="M150" i="15"/>
  <c r="H150" i="15"/>
  <c r="E150" i="15"/>
  <c r="D150" i="15"/>
  <c r="C150" i="15"/>
  <c r="AF80" i="15" l="1"/>
  <c r="W80" i="15"/>
  <c r="H80" i="15"/>
  <c r="A112" i="14"/>
  <c r="C112" i="14" s="1"/>
  <c r="D80" i="15"/>
  <c r="M80" i="15" s="1"/>
  <c r="K80" i="15"/>
  <c r="L80" i="15"/>
  <c r="C81" i="15"/>
  <c r="W81" i="15" s="1"/>
  <c r="B82" i="15"/>
  <c r="B35" i="17"/>
  <c r="C34" i="17"/>
  <c r="A31" i="17"/>
  <c r="A152" i="15"/>
  <c r="A199" i="15" s="1"/>
  <c r="A79" i="15"/>
  <c r="E78" i="15"/>
  <c r="Q151" i="15"/>
  <c r="P151" i="15"/>
  <c r="T151" i="15"/>
  <c r="U151" i="15"/>
  <c r="I151" i="15"/>
  <c r="V151" i="15"/>
  <c r="L151" i="15"/>
  <c r="R151" i="15"/>
  <c r="N151" i="15"/>
  <c r="H151" i="15"/>
  <c r="M151" i="15"/>
  <c r="C151" i="15"/>
  <c r="E151" i="15"/>
  <c r="D151" i="15"/>
  <c r="B83" i="15" l="1"/>
  <c r="A32" i="13" s="1"/>
  <c r="A31" i="13"/>
  <c r="B31" i="13" s="1"/>
  <c r="B32" i="13" s="1"/>
  <c r="A113" i="14"/>
  <c r="C113" i="14" s="1"/>
  <c r="H81" i="15"/>
  <c r="D81" i="15"/>
  <c r="M81" i="15" s="1"/>
  <c r="AF81" i="15"/>
  <c r="L81" i="15"/>
  <c r="C82" i="15"/>
  <c r="K82" i="15" s="1"/>
  <c r="K81" i="15"/>
  <c r="A65" i="14"/>
  <c r="B36" i="17"/>
  <c r="C35" i="17"/>
  <c r="A32" i="17"/>
  <c r="A153" i="15"/>
  <c r="A200" i="15" s="1"/>
  <c r="A80" i="15"/>
  <c r="E79" i="15"/>
  <c r="P152" i="15"/>
  <c r="Q152" i="15"/>
  <c r="R152" i="15"/>
  <c r="H152" i="15"/>
  <c r="N152" i="15"/>
  <c r="I152" i="15"/>
  <c r="U152" i="15"/>
  <c r="T152" i="15"/>
  <c r="M152" i="15"/>
  <c r="L152" i="15"/>
  <c r="V152" i="15"/>
  <c r="C152" i="15"/>
  <c r="E152" i="15"/>
  <c r="D152" i="15"/>
  <c r="B84" i="15" l="1"/>
  <c r="A33" i="13" s="1"/>
  <c r="B33" i="13" s="1"/>
  <c r="B34" i="13" s="1"/>
  <c r="D82" i="15"/>
  <c r="M82" i="15" s="1"/>
  <c r="A114" i="14"/>
  <c r="C114" i="14" s="1"/>
  <c r="C83" i="15"/>
  <c r="D83" i="15" s="1"/>
  <c r="M83" i="15" s="1"/>
  <c r="W82" i="15"/>
  <c r="A66" i="14"/>
  <c r="H82" i="15"/>
  <c r="AF82" i="15"/>
  <c r="L82" i="15"/>
  <c r="B37" i="17"/>
  <c r="C36" i="17"/>
  <c r="B85" i="15"/>
  <c r="A34" i="13" s="1"/>
  <c r="A33" i="17"/>
  <c r="A154" i="15"/>
  <c r="A201" i="15" s="1"/>
  <c r="A81" i="15"/>
  <c r="E80" i="15"/>
  <c r="M153" i="15"/>
  <c r="V153" i="15"/>
  <c r="P153" i="15"/>
  <c r="R153" i="15"/>
  <c r="L153" i="15"/>
  <c r="H153" i="15"/>
  <c r="Q153" i="15"/>
  <c r="N153" i="15"/>
  <c r="T153" i="15"/>
  <c r="I153" i="15"/>
  <c r="U153" i="15"/>
  <c r="C153" i="15"/>
  <c r="D153" i="15"/>
  <c r="E153" i="15"/>
  <c r="A67" i="14" l="1"/>
  <c r="H83" i="15"/>
  <c r="A115" i="14"/>
  <c r="C115" i="14" s="1"/>
  <c r="W83" i="15"/>
  <c r="L83" i="15"/>
  <c r="C84" i="15"/>
  <c r="L84" i="15" s="1"/>
  <c r="AF83" i="15"/>
  <c r="K83" i="15"/>
  <c r="B38" i="17"/>
  <c r="C37" i="17"/>
  <c r="B86" i="15"/>
  <c r="A35" i="13" s="1"/>
  <c r="B35" i="13" s="1"/>
  <c r="P154" i="15"/>
  <c r="I154" i="15"/>
  <c r="R154" i="15"/>
  <c r="M154" i="15"/>
  <c r="H154" i="15"/>
  <c r="L154" i="15"/>
  <c r="N154" i="15"/>
  <c r="Q154" i="15"/>
  <c r="U154" i="15"/>
  <c r="V154" i="15"/>
  <c r="T154" i="15"/>
  <c r="A34" i="17"/>
  <c r="A155" i="15"/>
  <c r="A202" i="15" s="1"/>
  <c r="A82" i="15"/>
  <c r="E81" i="15"/>
  <c r="D154" i="15"/>
  <c r="C154" i="15"/>
  <c r="E154" i="15"/>
  <c r="A68" i="14" l="1"/>
  <c r="AF84" i="15"/>
  <c r="W84" i="15"/>
  <c r="A116" i="14"/>
  <c r="C116" i="14" s="1"/>
  <c r="H84" i="15"/>
  <c r="K84" i="15"/>
  <c r="C85" i="15"/>
  <c r="K85" i="15" s="1"/>
  <c r="D84" i="15"/>
  <c r="M84" i="15" s="1"/>
  <c r="C38" i="17"/>
  <c r="B39" i="17"/>
  <c r="B87" i="15"/>
  <c r="A156" i="15"/>
  <c r="A203" i="15" s="1"/>
  <c r="A35" i="17"/>
  <c r="A83" i="15"/>
  <c r="E82" i="15"/>
  <c r="Q155" i="15"/>
  <c r="P155" i="15"/>
  <c r="T155" i="15"/>
  <c r="M155" i="15"/>
  <c r="I155" i="15"/>
  <c r="V155" i="15"/>
  <c r="N155" i="15"/>
  <c r="L155" i="15"/>
  <c r="H155" i="15"/>
  <c r="U155" i="15"/>
  <c r="R155" i="15"/>
  <c r="E155" i="15"/>
  <c r="D155" i="15"/>
  <c r="C155" i="15"/>
  <c r="B88" i="15" l="1"/>
  <c r="A37" i="13" s="1"/>
  <c r="A36" i="13"/>
  <c r="B36" i="13" s="1"/>
  <c r="W85" i="15"/>
  <c r="A69" i="14"/>
  <c r="AF85" i="15"/>
  <c r="C86" i="15"/>
  <c r="A118" i="14" s="1"/>
  <c r="C118" i="14" s="1"/>
  <c r="D85" i="15"/>
  <c r="M85" i="15" s="1"/>
  <c r="H85" i="15"/>
  <c r="L85" i="15"/>
  <c r="A117" i="14"/>
  <c r="C117" i="14" s="1"/>
  <c r="B40" i="17"/>
  <c r="C39" i="17"/>
  <c r="P156" i="15"/>
  <c r="V156" i="15"/>
  <c r="R156" i="15"/>
  <c r="Q156" i="15"/>
  <c r="H156" i="15"/>
  <c r="L156" i="15"/>
  <c r="N156" i="15"/>
  <c r="M156" i="15"/>
  <c r="U156" i="15"/>
  <c r="T156" i="15"/>
  <c r="I156" i="15"/>
  <c r="A70" i="14"/>
  <c r="A36" i="17"/>
  <c r="A157" i="15"/>
  <c r="A204" i="15" s="1"/>
  <c r="A84" i="15"/>
  <c r="E83" i="15"/>
  <c r="C156" i="15"/>
  <c r="D156" i="15"/>
  <c r="E156" i="15"/>
  <c r="B89" i="15" l="1"/>
  <c r="B37" i="13"/>
  <c r="H86" i="15"/>
  <c r="K86" i="15"/>
  <c r="C87" i="15"/>
  <c r="C88" i="15" s="1"/>
  <c r="W86" i="15"/>
  <c r="AF86" i="15"/>
  <c r="L86" i="15"/>
  <c r="D86" i="15"/>
  <c r="M86" i="15" s="1"/>
  <c r="C40" i="17"/>
  <c r="B41" i="17"/>
  <c r="A37" i="17"/>
  <c r="A158" i="15"/>
  <c r="A205" i="15" s="1"/>
  <c r="A85" i="15"/>
  <c r="E84" i="15"/>
  <c r="Q157" i="15"/>
  <c r="P157" i="15"/>
  <c r="U157" i="15"/>
  <c r="L157" i="15"/>
  <c r="V157" i="15"/>
  <c r="N157" i="15"/>
  <c r="R157" i="15"/>
  <c r="H157" i="15"/>
  <c r="T157" i="15"/>
  <c r="I157" i="15"/>
  <c r="M157" i="15"/>
  <c r="E157" i="15"/>
  <c r="D157" i="15"/>
  <c r="C157" i="15"/>
  <c r="B90" i="15" l="1"/>
  <c r="A39" i="13" s="1"/>
  <c r="A38" i="13"/>
  <c r="B38" i="13"/>
  <c r="B39" i="13" s="1"/>
  <c r="W87" i="15"/>
  <c r="D87" i="15"/>
  <c r="K87" i="15"/>
  <c r="A71" i="14"/>
  <c r="H87" i="15"/>
  <c r="A119" i="14"/>
  <c r="C119" i="14" s="1"/>
  <c r="AF87" i="15"/>
  <c r="B42" i="17"/>
  <c r="C41" i="17"/>
  <c r="A159" i="15"/>
  <c r="A206" i="15" s="1"/>
  <c r="A38" i="17"/>
  <c r="A86" i="15"/>
  <c r="E85" i="15"/>
  <c r="P158" i="15"/>
  <c r="Q158" i="15"/>
  <c r="I158" i="15"/>
  <c r="V158" i="15"/>
  <c r="L158" i="15"/>
  <c r="H158" i="15"/>
  <c r="U158" i="15"/>
  <c r="M158" i="15"/>
  <c r="T158" i="15"/>
  <c r="N158" i="15"/>
  <c r="R158" i="15"/>
  <c r="H88" i="15"/>
  <c r="L88" i="15"/>
  <c r="W88" i="15"/>
  <c r="A120" i="14"/>
  <c r="D88" i="15"/>
  <c r="M88" i="15" s="1"/>
  <c r="K88" i="15"/>
  <c r="AF88" i="15"/>
  <c r="A72" i="14"/>
  <c r="C89" i="15"/>
  <c r="E158" i="15"/>
  <c r="D158" i="15"/>
  <c r="C158" i="15"/>
  <c r="B91" i="15" l="1"/>
  <c r="C42" i="17"/>
  <c r="B43" i="17"/>
  <c r="AF89" i="15"/>
  <c r="A73" i="14"/>
  <c r="A121" i="14"/>
  <c r="K89" i="15"/>
  <c r="L89" i="15"/>
  <c r="W89" i="15"/>
  <c r="D89" i="15"/>
  <c r="M89" i="15" s="1"/>
  <c r="H89" i="15"/>
  <c r="C90" i="15"/>
  <c r="A160" i="15"/>
  <c r="A207" i="15" s="1"/>
  <c r="A39" i="17"/>
  <c r="A87" i="15"/>
  <c r="E86" i="15"/>
  <c r="Q159" i="15"/>
  <c r="P159" i="15"/>
  <c r="U159" i="15"/>
  <c r="I159" i="15"/>
  <c r="N159" i="15"/>
  <c r="H159" i="15"/>
  <c r="T159" i="15"/>
  <c r="R159" i="15"/>
  <c r="V159" i="15"/>
  <c r="L159" i="15"/>
  <c r="M159" i="15"/>
  <c r="E159" i="15"/>
  <c r="D159" i="15"/>
  <c r="C159" i="15"/>
  <c r="A40" i="13" l="1"/>
  <c r="B40" i="13" s="1"/>
  <c r="B92" i="15"/>
  <c r="C43" i="17"/>
  <c r="B44" i="17"/>
  <c r="A122" i="14"/>
  <c r="K90" i="15"/>
  <c r="AF90" i="15"/>
  <c r="W90" i="15"/>
  <c r="L90" i="15"/>
  <c r="D90" i="15"/>
  <c r="M90" i="15" s="1"/>
  <c r="H90" i="15"/>
  <c r="A74" i="14"/>
  <c r="C91" i="15"/>
  <c r="A40" i="17"/>
  <c r="A161" i="15"/>
  <c r="A208" i="15" s="1"/>
  <c r="A88" i="15"/>
  <c r="E87" i="15"/>
  <c r="P160" i="15"/>
  <c r="L160" i="15"/>
  <c r="M160" i="15"/>
  <c r="N160" i="15"/>
  <c r="U160" i="15"/>
  <c r="V160" i="15"/>
  <c r="Q160" i="15"/>
  <c r="T160" i="15"/>
  <c r="I160" i="15"/>
  <c r="R160" i="15"/>
  <c r="H160" i="15"/>
  <c r="D160" i="15"/>
  <c r="E160" i="15"/>
  <c r="C160" i="15"/>
  <c r="B93" i="15" l="1"/>
  <c r="B94" i="15" s="1"/>
  <c r="A41" i="13"/>
  <c r="B41" i="13" s="1"/>
  <c r="C44" i="17"/>
  <c r="B45" i="17"/>
  <c r="K91" i="15"/>
  <c r="A123" i="14"/>
  <c r="AF91" i="15"/>
  <c r="L91" i="15"/>
  <c r="W91" i="15"/>
  <c r="A75" i="14"/>
  <c r="D91" i="15"/>
  <c r="M91" i="15" s="1"/>
  <c r="H91" i="15"/>
  <c r="C92" i="15"/>
  <c r="A162" i="15"/>
  <c r="A209" i="15" s="1"/>
  <c r="A41" i="17"/>
  <c r="A89" i="15"/>
  <c r="E88" i="15"/>
  <c r="Q161" i="15"/>
  <c r="L161" i="15"/>
  <c r="H161" i="15"/>
  <c r="R161" i="15"/>
  <c r="N161" i="15"/>
  <c r="I161" i="15"/>
  <c r="U161" i="15"/>
  <c r="T161" i="15"/>
  <c r="M161" i="15"/>
  <c r="P161" i="15"/>
  <c r="V161" i="15"/>
  <c r="D161" i="15"/>
  <c r="E161" i="15"/>
  <c r="C161" i="15"/>
  <c r="B42" i="13" l="1"/>
  <c r="B43" i="13" s="1"/>
  <c r="B44" i="13" s="1"/>
  <c r="A43" i="13"/>
  <c r="A42" i="13"/>
  <c r="B95" i="15"/>
  <c r="A44" i="13" s="1"/>
  <c r="C45" i="17"/>
  <c r="B46" i="17"/>
  <c r="A163" i="15"/>
  <c r="A210" i="15" s="1"/>
  <c r="A42" i="17"/>
  <c r="A90" i="15"/>
  <c r="E89" i="15"/>
  <c r="AF92" i="15"/>
  <c r="A76" i="14"/>
  <c r="H92" i="15"/>
  <c r="A124" i="14"/>
  <c r="W92" i="15"/>
  <c r="D92" i="15"/>
  <c r="M92" i="15" s="1"/>
  <c r="L92" i="15"/>
  <c r="K92" i="15"/>
  <c r="C93" i="15"/>
  <c r="P162" i="15"/>
  <c r="Q162" i="15"/>
  <c r="T162" i="15"/>
  <c r="M162" i="15"/>
  <c r="H162" i="15"/>
  <c r="R162" i="15"/>
  <c r="N162" i="15"/>
  <c r="I162" i="15"/>
  <c r="U162" i="15"/>
  <c r="V162" i="15"/>
  <c r="L162" i="15"/>
  <c r="E162" i="15"/>
  <c r="D162" i="15"/>
  <c r="C162" i="15"/>
  <c r="B97" i="15" l="1"/>
  <c r="B96" i="15"/>
  <c r="A45" i="13" s="1"/>
  <c r="B45" i="13"/>
  <c r="C46" i="17"/>
  <c r="B47" i="17"/>
  <c r="A164" i="15"/>
  <c r="A211" i="15" s="1"/>
  <c r="A43" i="17"/>
  <c r="A91" i="15"/>
  <c r="E90" i="15"/>
  <c r="Q163" i="15"/>
  <c r="T163" i="15"/>
  <c r="R163" i="15"/>
  <c r="V163" i="15"/>
  <c r="N163" i="15"/>
  <c r="P163" i="15"/>
  <c r="U163" i="15"/>
  <c r="H163" i="15"/>
  <c r="I163" i="15"/>
  <c r="M163" i="15"/>
  <c r="L163" i="15"/>
  <c r="D93" i="15"/>
  <c r="M93" i="15" s="1"/>
  <c r="H93" i="15"/>
  <c r="A125" i="14"/>
  <c r="A77" i="14"/>
  <c r="W93" i="15"/>
  <c r="K93" i="15"/>
  <c r="L93" i="15"/>
  <c r="AF93" i="15"/>
  <c r="C94" i="15"/>
  <c r="E163" i="15"/>
  <c r="D163" i="15"/>
  <c r="C163" i="15"/>
  <c r="B98" i="15" l="1"/>
  <c r="A47" i="13" s="1"/>
  <c r="A46" i="13"/>
  <c r="B46" i="13" s="1"/>
  <c r="B47" i="13" s="1"/>
  <c r="C47" i="17"/>
  <c r="B48" i="17"/>
  <c r="A126" i="14"/>
  <c r="A78" i="14"/>
  <c r="D94" i="15"/>
  <c r="M94" i="15" s="1"/>
  <c r="K94" i="15"/>
  <c r="AF94" i="15"/>
  <c r="W94" i="15"/>
  <c r="L94" i="15"/>
  <c r="H94" i="15"/>
  <c r="C95" i="15"/>
  <c r="P164" i="15"/>
  <c r="Q164" i="15"/>
  <c r="R164" i="15"/>
  <c r="N164" i="15"/>
  <c r="L164" i="15"/>
  <c r="T164" i="15"/>
  <c r="H164" i="15"/>
  <c r="U164" i="15"/>
  <c r="V164" i="15"/>
  <c r="M164" i="15"/>
  <c r="I164" i="15"/>
  <c r="A44" i="17"/>
  <c r="A165" i="15"/>
  <c r="A212" i="15" s="1"/>
  <c r="A92" i="15"/>
  <c r="E91" i="15"/>
  <c r="E164" i="15"/>
  <c r="C164" i="15"/>
  <c r="D164" i="15"/>
  <c r="B99" i="15" l="1"/>
  <c r="C48" i="17"/>
  <c r="B49" i="17"/>
  <c r="A45" i="17"/>
  <c r="A166" i="15"/>
  <c r="A213" i="15" s="1"/>
  <c r="A93" i="15"/>
  <c r="E92" i="15"/>
  <c r="P165" i="15"/>
  <c r="Q165" i="15"/>
  <c r="I165" i="15"/>
  <c r="M165" i="15"/>
  <c r="H165" i="15"/>
  <c r="L165" i="15"/>
  <c r="N165" i="15"/>
  <c r="R165" i="15"/>
  <c r="U165" i="15"/>
  <c r="V165" i="15"/>
  <c r="T165" i="15"/>
  <c r="H95" i="15"/>
  <c r="AF95" i="15"/>
  <c r="W95" i="15"/>
  <c r="A127" i="14"/>
  <c r="K95" i="15"/>
  <c r="L95" i="15"/>
  <c r="D95" i="15"/>
  <c r="M95" i="15" s="1"/>
  <c r="A79" i="14"/>
  <c r="C96" i="15"/>
  <c r="E165" i="15"/>
  <c r="D165" i="15"/>
  <c r="C165" i="15"/>
  <c r="A48" i="13" l="1"/>
  <c r="B48" i="13" s="1"/>
  <c r="B100" i="15"/>
  <c r="C121" i="14"/>
  <c r="C49" i="17"/>
  <c r="B50" i="17"/>
  <c r="A46" i="17"/>
  <c r="A167" i="15"/>
  <c r="A214" i="15" s="1"/>
  <c r="A94" i="15"/>
  <c r="E93" i="15"/>
  <c r="D96" i="15"/>
  <c r="M96" i="15" s="1"/>
  <c r="AF96" i="15"/>
  <c r="H96" i="15"/>
  <c r="A128" i="14"/>
  <c r="W96" i="15"/>
  <c r="L96" i="15"/>
  <c r="K96" i="15"/>
  <c r="A80" i="14"/>
  <c r="C97" i="15"/>
  <c r="P166" i="15"/>
  <c r="R166" i="15"/>
  <c r="V166" i="15"/>
  <c r="Q166" i="15"/>
  <c r="I166" i="15"/>
  <c r="L166" i="15"/>
  <c r="T166" i="15"/>
  <c r="H166" i="15"/>
  <c r="M166" i="15"/>
  <c r="U166" i="15"/>
  <c r="N166" i="15"/>
  <c r="D166" i="15"/>
  <c r="C166" i="15"/>
  <c r="E166" i="15"/>
  <c r="A49" i="13" l="1"/>
  <c r="B101" i="15"/>
  <c r="B49" i="13"/>
  <c r="C122" i="14"/>
  <c r="B51" i="17"/>
  <c r="C50" i="17"/>
  <c r="A168" i="15"/>
  <c r="A215" i="15" s="1"/>
  <c r="A47" i="17"/>
  <c r="A95" i="15"/>
  <c r="E94" i="15"/>
  <c r="Q167" i="15"/>
  <c r="P167" i="15"/>
  <c r="M167" i="15"/>
  <c r="U167" i="15"/>
  <c r="I167" i="15"/>
  <c r="V167" i="15"/>
  <c r="T167" i="15"/>
  <c r="R167" i="15"/>
  <c r="L167" i="15"/>
  <c r="N167" i="15"/>
  <c r="H167" i="15"/>
  <c r="W97" i="15"/>
  <c r="D97" i="15"/>
  <c r="M97" i="15" s="1"/>
  <c r="A81" i="14"/>
  <c r="K97" i="15"/>
  <c r="AF97" i="15"/>
  <c r="H97" i="15"/>
  <c r="A129" i="14"/>
  <c r="L97" i="15"/>
  <c r="C98" i="15"/>
  <c r="D167" i="15"/>
  <c r="E167" i="15"/>
  <c r="C167" i="15"/>
  <c r="A50" i="13" l="1"/>
  <c r="B50" i="13" s="1"/>
  <c r="B102" i="15"/>
  <c r="C123" i="14"/>
  <c r="B52" i="17"/>
  <c r="C51" i="17"/>
  <c r="L98" i="15"/>
  <c r="D98" i="15"/>
  <c r="M98" i="15" s="1"/>
  <c r="A130" i="14"/>
  <c r="AF98" i="15"/>
  <c r="K98" i="15"/>
  <c r="H98" i="15"/>
  <c r="A82" i="14"/>
  <c r="W98" i="15"/>
  <c r="C99" i="15"/>
  <c r="A169" i="15"/>
  <c r="A216" i="15" s="1"/>
  <c r="A48" i="17"/>
  <c r="A96" i="15"/>
  <c r="E95" i="15"/>
  <c r="P168" i="15"/>
  <c r="Q168" i="15"/>
  <c r="I168" i="15"/>
  <c r="V168" i="15"/>
  <c r="N168" i="15"/>
  <c r="M168" i="15"/>
  <c r="T168" i="15"/>
  <c r="L168" i="15"/>
  <c r="H168" i="15"/>
  <c r="U168" i="15"/>
  <c r="R168" i="15"/>
  <c r="E168" i="15"/>
  <c r="D168" i="15"/>
  <c r="C168" i="15"/>
  <c r="A51" i="13" l="1"/>
  <c r="B51" i="13" s="1"/>
  <c r="B103" i="15"/>
  <c r="C124" i="14"/>
  <c r="B53" i="17"/>
  <c r="C52" i="17"/>
  <c r="A49" i="17"/>
  <c r="A170" i="15"/>
  <c r="A217" i="15" s="1"/>
  <c r="A97" i="15"/>
  <c r="E96" i="15"/>
  <c r="W99" i="15"/>
  <c r="L99" i="15"/>
  <c r="D99" i="15"/>
  <c r="M99" i="15" s="1"/>
  <c r="AF99" i="15"/>
  <c r="K99" i="15"/>
  <c r="A83" i="14"/>
  <c r="A131" i="14"/>
  <c r="H99" i="15"/>
  <c r="C100" i="15"/>
  <c r="P169" i="15"/>
  <c r="M169" i="15"/>
  <c r="L169" i="15"/>
  <c r="Q169" i="15"/>
  <c r="N169" i="15"/>
  <c r="I169" i="15"/>
  <c r="V169" i="15"/>
  <c r="H169" i="15"/>
  <c r="R169" i="15"/>
  <c r="T169" i="15"/>
  <c r="U169" i="15"/>
  <c r="E169" i="15"/>
  <c r="D169" i="15"/>
  <c r="C169" i="15"/>
  <c r="A52" i="13" l="1"/>
  <c r="B52" i="13" s="1"/>
  <c r="B104" i="15"/>
  <c r="C53" i="17"/>
  <c r="B54" i="17"/>
  <c r="A171" i="15"/>
  <c r="A218" i="15" s="1"/>
  <c r="A50" i="17"/>
  <c r="A98" i="15"/>
  <c r="E97" i="15"/>
  <c r="AF100" i="15"/>
  <c r="L100" i="15"/>
  <c r="A132" i="14"/>
  <c r="H100" i="15"/>
  <c r="W100" i="15"/>
  <c r="K100" i="15"/>
  <c r="D100" i="15"/>
  <c r="M100" i="15" s="1"/>
  <c r="A84" i="14"/>
  <c r="C101" i="15"/>
  <c r="P170" i="15"/>
  <c r="Q170" i="15"/>
  <c r="L170" i="15"/>
  <c r="N170" i="15"/>
  <c r="R170" i="15"/>
  <c r="I170" i="15"/>
  <c r="T170" i="15"/>
  <c r="V170" i="15"/>
  <c r="U170" i="15"/>
  <c r="M170" i="15"/>
  <c r="H170" i="15"/>
  <c r="E170" i="15"/>
  <c r="D170" i="15"/>
  <c r="C170" i="15"/>
  <c r="A53" i="13" l="1"/>
  <c r="B53" i="13" s="1"/>
  <c r="B105" i="15"/>
  <c r="C125" i="14"/>
  <c r="C54" i="17"/>
  <c r="B55" i="17"/>
  <c r="A51" i="17"/>
  <c r="A172" i="15"/>
  <c r="A219" i="15" s="1"/>
  <c r="A99" i="15"/>
  <c r="E98" i="15"/>
  <c r="L101" i="15"/>
  <c r="H101" i="15"/>
  <c r="W101" i="15"/>
  <c r="K101" i="15"/>
  <c r="D101" i="15"/>
  <c r="M101" i="15" s="1"/>
  <c r="AF101" i="15"/>
  <c r="A133" i="14"/>
  <c r="A85" i="14"/>
  <c r="C102" i="15"/>
  <c r="Q171" i="15"/>
  <c r="P171" i="15"/>
  <c r="L171" i="15"/>
  <c r="H171" i="15"/>
  <c r="V171" i="15"/>
  <c r="T171" i="15"/>
  <c r="M171" i="15"/>
  <c r="U171" i="15"/>
  <c r="I171" i="15"/>
  <c r="N171" i="15"/>
  <c r="R171" i="15"/>
  <c r="E171" i="15"/>
  <c r="D171" i="15"/>
  <c r="C171" i="15"/>
  <c r="A54" i="13" l="1"/>
  <c r="B54" i="13" s="1"/>
  <c r="B106" i="15"/>
  <c r="C126" i="14"/>
  <c r="C127" i="14"/>
  <c r="B56" i="17"/>
  <c r="C55" i="17"/>
  <c r="A52" i="17"/>
  <c r="A173" i="15"/>
  <c r="A220" i="15" s="1"/>
  <c r="A100" i="15"/>
  <c r="E99" i="15"/>
  <c r="K102" i="15"/>
  <c r="AF102" i="15"/>
  <c r="W102" i="15"/>
  <c r="A86" i="14"/>
  <c r="H102" i="15"/>
  <c r="D102" i="15"/>
  <c r="A134" i="14"/>
  <c r="C103" i="15"/>
  <c r="P172" i="15"/>
  <c r="L172" i="15"/>
  <c r="V172" i="15"/>
  <c r="U172" i="15"/>
  <c r="M172" i="15"/>
  <c r="N172" i="15"/>
  <c r="Q172" i="15"/>
  <c r="I172" i="15"/>
  <c r="H172" i="15"/>
  <c r="T172" i="15"/>
  <c r="R172" i="15"/>
  <c r="D172" i="15"/>
  <c r="C172" i="15"/>
  <c r="E172" i="15"/>
  <c r="F54" i="13" l="1"/>
  <c r="A55" i="13"/>
  <c r="B55" i="13" s="1"/>
  <c r="B107" i="15"/>
  <c r="C128" i="14"/>
  <c r="C56" i="17"/>
  <c r="B57" i="17"/>
  <c r="W103" i="15"/>
  <c r="L103" i="15"/>
  <c r="K103" i="15"/>
  <c r="A135" i="14"/>
  <c r="A87" i="14"/>
  <c r="AF103" i="15"/>
  <c r="H103" i="15"/>
  <c r="D103" i="15"/>
  <c r="M103" i="15" s="1"/>
  <c r="C104" i="15"/>
  <c r="A53" i="17"/>
  <c r="A174" i="15"/>
  <c r="A221" i="15" s="1"/>
  <c r="A101" i="15"/>
  <c r="E100" i="15"/>
  <c r="P173" i="15"/>
  <c r="Q173" i="15"/>
  <c r="V173" i="15"/>
  <c r="U173" i="15"/>
  <c r="M173" i="15"/>
  <c r="I173" i="15"/>
  <c r="L173" i="15"/>
  <c r="N173" i="15"/>
  <c r="H173" i="15"/>
  <c r="R173" i="15"/>
  <c r="T173" i="15"/>
  <c r="E173" i="15"/>
  <c r="D173" i="15"/>
  <c r="C173" i="15"/>
  <c r="F55" i="13" l="1"/>
  <c r="A56" i="13"/>
  <c r="B56" i="13" s="1"/>
  <c r="B108" i="15"/>
  <c r="C57" i="17"/>
  <c r="A175" i="15"/>
  <c r="A222" i="15" s="1"/>
  <c r="A54" i="17"/>
  <c r="A102" i="15"/>
  <c r="E101" i="15"/>
  <c r="P174" i="15"/>
  <c r="Q174" i="15"/>
  <c r="N174" i="15"/>
  <c r="T174" i="15"/>
  <c r="U174" i="15"/>
  <c r="I174" i="15"/>
  <c r="L174" i="15"/>
  <c r="H174" i="15"/>
  <c r="R174" i="15"/>
  <c r="V174" i="15"/>
  <c r="M174" i="15"/>
  <c r="D104" i="15"/>
  <c r="M104" i="15" s="1"/>
  <c r="A88" i="14"/>
  <c r="W104" i="15"/>
  <c r="H104" i="15"/>
  <c r="A136" i="14"/>
  <c r="L104" i="15"/>
  <c r="K104" i="15"/>
  <c r="AF104" i="15"/>
  <c r="C105" i="15"/>
  <c r="E174" i="15"/>
  <c r="D174" i="15"/>
  <c r="C174" i="15"/>
  <c r="A57" i="13" l="1"/>
  <c r="S108" i="15"/>
  <c r="B109" i="15"/>
  <c r="C129" i="14"/>
  <c r="D105" i="15"/>
  <c r="M105" i="15" s="1"/>
  <c r="A137" i="14"/>
  <c r="A89" i="14"/>
  <c r="L105" i="15"/>
  <c r="K105" i="15"/>
  <c r="W105" i="15"/>
  <c r="H105" i="15"/>
  <c r="AF105" i="15"/>
  <c r="C106" i="15"/>
  <c r="A176" i="15"/>
  <c r="A223" i="15" s="1"/>
  <c r="A55" i="17"/>
  <c r="A103" i="15"/>
  <c r="E102" i="15"/>
  <c r="Q175" i="15"/>
  <c r="N175" i="15"/>
  <c r="H175" i="15"/>
  <c r="L175" i="15"/>
  <c r="P175" i="15"/>
  <c r="R175" i="15"/>
  <c r="I175" i="15"/>
  <c r="U175" i="15"/>
  <c r="V175" i="15"/>
  <c r="T175" i="15"/>
  <c r="M175" i="15"/>
  <c r="C175" i="15"/>
  <c r="E175" i="15"/>
  <c r="D175" i="15"/>
  <c r="S109" i="15" l="1"/>
  <c r="B110" i="15"/>
  <c r="B57" i="13"/>
  <c r="G57" i="13" s="1"/>
  <c r="C130" i="14"/>
  <c r="L102" i="15"/>
  <c r="M102" i="15"/>
  <c r="P176" i="15"/>
  <c r="Q176" i="15"/>
  <c r="T176" i="15"/>
  <c r="H176" i="15"/>
  <c r="L176" i="15"/>
  <c r="I176" i="15"/>
  <c r="V176" i="15"/>
  <c r="N176" i="15"/>
  <c r="R176" i="15"/>
  <c r="U176" i="15"/>
  <c r="M176" i="15"/>
  <c r="A138" i="14"/>
  <c r="D106" i="15"/>
  <c r="M106" i="15" s="1"/>
  <c r="W106" i="15"/>
  <c r="AF106" i="15"/>
  <c r="A90" i="14"/>
  <c r="K106" i="15"/>
  <c r="L106" i="15"/>
  <c r="H106" i="15"/>
  <c r="C107" i="15"/>
  <c r="C108" i="15" s="1"/>
  <c r="Q108" i="15" s="1"/>
  <c r="A56" i="17"/>
  <c r="A177" i="15"/>
  <c r="A224" i="15" s="1"/>
  <c r="A104" i="15"/>
  <c r="E103" i="15"/>
  <c r="D176" i="15"/>
  <c r="C176" i="15"/>
  <c r="E176" i="15"/>
  <c r="C57" i="13" l="1"/>
  <c r="F57" i="13"/>
  <c r="E57" i="13"/>
  <c r="S110" i="15"/>
  <c r="B111" i="15"/>
  <c r="A140" i="14"/>
  <c r="A92" i="14"/>
  <c r="K108" i="15"/>
  <c r="W108" i="15"/>
  <c r="Z108" i="15"/>
  <c r="C109" i="15"/>
  <c r="Q109" i="15" s="1"/>
  <c r="L108" i="15"/>
  <c r="AE108" i="15"/>
  <c r="H108" i="15"/>
  <c r="AF108" i="15"/>
  <c r="C131" i="14"/>
  <c r="P177" i="15"/>
  <c r="Q177" i="15"/>
  <c r="V177" i="15"/>
  <c r="L177" i="15"/>
  <c r="U177" i="15"/>
  <c r="N177" i="15"/>
  <c r="R177" i="15"/>
  <c r="T177" i="15"/>
  <c r="M177" i="15"/>
  <c r="I177" i="15"/>
  <c r="H177" i="15"/>
  <c r="D107" i="15"/>
  <c r="D108" i="15" s="1"/>
  <c r="M108" i="15" s="1"/>
  <c r="H107" i="15"/>
  <c r="AF107" i="15"/>
  <c r="K107" i="15"/>
  <c r="W107" i="15"/>
  <c r="A139" i="14"/>
  <c r="A91" i="14"/>
  <c r="A178" i="15"/>
  <c r="A225" i="15" s="1"/>
  <c r="A57" i="17"/>
  <c r="A105" i="15"/>
  <c r="E104" i="15"/>
  <c r="E177" i="15"/>
  <c r="D177" i="15"/>
  <c r="C177" i="15"/>
  <c r="S111" i="15" l="1"/>
  <c r="B112" i="15"/>
  <c r="S112" i="15" s="1"/>
  <c r="D57"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Z105" i="15"/>
  <c r="A179" i="15"/>
  <c r="A226" i="15" s="1"/>
  <c r="A106" i="15"/>
  <c r="E105" i="15"/>
  <c r="D178" i="15"/>
  <c r="C178" i="15"/>
  <c r="E178" i="15"/>
  <c r="B113" i="15" l="1"/>
  <c r="S113" i="15" s="1"/>
  <c r="AF110" i="15"/>
  <c r="K110" i="15"/>
  <c r="D110" i="15"/>
  <c r="M110" i="15" s="1"/>
  <c r="H110" i="15"/>
  <c r="W110" i="15"/>
  <c r="C111" i="15"/>
  <c r="Q111" i="15" s="1"/>
  <c r="Z110" i="15"/>
  <c r="AE110" i="15"/>
  <c r="L110" i="15"/>
  <c r="C133" i="14"/>
  <c r="Z106" i="15"/>
  <c r="A180" i="15"/>
  <c r="A227" i="15" s="1"/>
  <c r="A107" i="15"/>
  <c r="A108" i="15" s="1"/>
  <c r="E106" i="15"/>
  <c r="Q179" i="15"/>
  <c r="P179" i="15"/>
  <c r="I179" i="15"/>
  <c r="N179" i="15"/>
  <c r="R179" i="15"/>
  <c r="H179" i="15"/>
  <c r="M179" i="15"/>
  <c r="L179" i="15"/>
  <c r="U179" i="15"/>
  <c r="T179" i="15"/>
  <c r="V179" i="15"/>
  <c r="C179" i="15"/>
  <c r="D179" i="15"/>
  <c r="E179" i="15"/>
  <c r="W111" i="15" l="1"/>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C180" i="15"/>
  <c r="I108" i="15" l="1"/>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C233" i="15"/>
  <c r="I33" i="34" s="1"/>
  <c r="D233" i="15"/>
  <c r="I34" i="34" s="1"/>
  <c r="L87" i="15"/>
  <c r="M87" i="15"/>
  <c r="I48" i="119"/>
  <c r="H48" i="119"/>
  <c r="G48" i="119"/>
  <c r="E78" i="6" s="1"/>
  <c r="E48" i="119"/>
  <c r="D48" i="119"/>
  <c r="C26" i="6" s="1"/>
  <c r="C48" i="119"/>
  <c r="C25" i="6" s="1"/>
  <c r="B22" i="15" s="1"/>
  <c r="F48" i="119"/>
  <c r="E75" i="6" s="1"/>
  <c r="C52" i="6" l="1"/>
  <c r="X59" i="15" s="1"/>
  <c r="F133" i="15"/>
  <c r="F136" i="15" s="1"/>
  <c r="B133" i="15"/>
  <c r="C134" i="6"/>
  <c r="C69" i="6"/>
  <c r="B20" i="15"/>
  <c r="B21" i="15" s="1"/>
  <c r="C4" i="119"/>
  <c r="D199" i="119" s="1"/>
  <c r="C27" i="6"/>
  <c r="C28" i="6" s="1"/>
  <c r="C4" i="24"/>
  <c r="C3" i="119"/>
  <c r="C199" i="119" s="1"/>
  <c r="G152" i="15"/>
  <c r="G174" i="15"/>
  <c r="G168" i="15"/>
  <c r="G158" i="15"/>
  <c r="G139" i="15"/>
  <c r="G179" i="15"/>
  <c r="G156" i="15"/>
  <c r="G144" i="15"/>
  <c r="G161" i="15"/>
  <c r="G167" i="15"/>
  <c r="G148" i="15"/>
  <c r="G170" i="15"/>
  <c r="G153" i="15"/>
  <c r="G147" i="15"/>
  <c r="G143" i="15"/>
  <c r="G160" i="15"/>
  <c r="G172" i="15"/>
  <c r="G171" i="15"/>
  <c r="G151" i="15"/>
  <c r="G155" i="15"/>
  <c r="G157" i="15"/>
  <c r="G159" i="15"/>
  <c r="G141" i="15"/>
  <c r="G163" i="15"/>
  <c r="G166" i="15"/>
  <c r="G165" i="15"/>
  <c r="G181" i="15"/>
  <c r="G146" i="15"/>
  <c r="G142" i="15"/>
  <c r="G177" i="15"/>
  <c r="G175" i="15"/>
  <c r="G180" i="15"/>
  <c r="G176" i="15"/>
  <c r="G149" i="15"/>
  <c r="G150" i="15"/>
  <c r="G169" i="15"/>
  <c r="G173" i="15"/>
  <c r="G140" i="15"/>
  <c r="G178" i="15"/>
  <c r="G162" i="15"/>
  <c r="G154" i="15"/>
  <c r="G164" i="15"/>
  <c r="G145" i="15"/>
  <c r="B151" i="15"/>
  <c r="B144" i="15"/>
  <c r="F176" i="15"/>
  <c r="B171" i="15"/>
  <c r="B143" i="15"/>
  <c r="B159" i="15"/>
  <c r="B174" i="15"/>
  <c r="B161" i="15"/>
  <c r="B180" i="15"/>
  <c r="B149" i="15"/>
  <c r="B142" i="15"/>
  <c r="F162" i="15"/>
  <c r="B181" i="15"/>
  <c r="B139" i="15"/>
  <c r="F170" i="15"/>
  <c r="F180" i="15"/>
  <c r="B155" i="15"/>
  <c r="B154" i="15"/>
  <c r="B162" i="15"/>
  <c r="B146" i="15"/>
  <c r="F165" i="15"/>
  <c r="F167" i="15"/>
  <c r="B140" i="15"/>
  <c r="B163" i="15"/>
  <c r="B157" i="15"/>
  <c r="B147" i="15"/>
  <c r="B148" i="15"/>
  <c r="B175" i="15"/>
  <c r="B150" i="15"/>
  <c r="F161" i="15"/>
  <c r="F143" i="15"/>
  <c r="F156" i="15"/>
  <c r="F160" i="15"/>
  <c r="B173" i="15"/>
  <c r="F145" i="15"/>
  <c r="B170" i="15"/>
  <c r="B164" i="15"/>
  <c r="F158" i="15"/>
  <c r="F144" i="15"/>
  <c r="F142" i="15"/>
  <c r="F147" i="15"/>
  <c r="B165" i="15"/>
  <c r="C5" i="119" l="1"/>
  <c r="E199" i="119" s="1"/>
  <c r="C46" i="33"/>
  <c r="F36" i="14"/>
  <c r="E22" i="15"/>
  <c r="D36" i="14"/>
  <c r="G36" i="14"/>
  <c r="C36" i="14"/>
  <c r="B26" i="15"/>
  <c r="B27" i="15" s="1"/>
  <c r="C37" i="14" s="1"/>
  <c r="E36" i="14"/>
  <c r="H36" i="14"/>
  <c r="C47" i="33" s="1"/>
  <c r="C48" i="33" s="1"/>
  <c r="W116" i="15"/>
  <c r="AF116" i="15"/>
  <c r="AB55" i="15" s="1"/>
  <c r="AB57" i="15" s="1"/>
  <c r="F75" i="6"/>
  <c r="F82" i="6" s="1"/>
  <c r="C146" i="6" s="1"/>
  <c r="F78" i="6"/>
  <c r="F83" i="6" s="1"/>
  <c r="C147" i="6" s="1"/>
  <c r="F38" i="34"/>
  <c r="G136" i="15"/>
  <c r="F37" i="34"/>
  <c r="B136" i="15"/>
  <c r="F32" i="34"/>
  <c r="C32" i="34" s="1"/>
  <c r="B193" i="15"/>
  <c r="C197" i="119"/>
  <c r="C202" i="119" s="1"/>
  <c r="D202" i="119" s="1"/>
  <c r="D156" i="6"/>
  <c r="D155" i="6"/>
  <c r="D157" i="6"/>
  <c r="E22" i="24"/>
  <c r="G22" i="24" s="1"/>
  <c r="E14" i="24"/>
  <c r="G14" i="24" s="1"/>
  <c r="D152" i="6"/>
  <c r="E152" i="6" s="1"/>
  <c r="D122" i="6"/>
  <c r="E122" i="6" s="1"/>
  <c r="E25" i="24"/>
  <c r="G25" i="24" s="1"/>
  <c r="E23" i="24"/>
  <c r="G23" i="24" s="1"/>
  <c r="E19" i="24"/>
  <c r="G19" i="24" s="1"/>
  <c r="E18" i="24"/>
  <c r="G18" i="24" s="1"/>
  <c r="E20" i="24"/>
  <c r="G20" i="24" s="1"/>
  <c r="E21" i="24"/>
  <c r="G21" i="24" s="1"/>
  <c r="E26" i="24"/>
  <c r="G26" i="24" s="1"/>
  <c r="E16" i="24"/>
  <c r="G16" i="24" s="1"/>
  <c r="E24" i="24"/>
  <c r="G24" i="24" s="1"/>
  <c r="E17" i="24"/>
  <c r="G17" i="24" s="1"/>
  <c r="D150" i="6"/>
  <c r="E150" i="6" s="1"/>
  <c r="E15" i="24"/>
  <c r="G15" i="24" s="1"/>
  <c r="D153" i="6"/>
  <c r="E153" i="6" s="1"/>
  <c r="D151" i="6"/>
  <c r="E151" i="6" s="1"/>
  <c r="D111" i="6"/>
  <c r="E111" i="6" s="1"/>
  <c r="E113" i="6" s="1"/>
  <c r="E13" i="24"/>
  <c r="O68" i="15"/>
  <c r="O100" i="15"/>
  <c r="O96" i="15"/>
  <c r="B209" i="15"/>
  <c r="O80" i="15"/>
  <c r="B197" i="15"/>
  <c r="H206" i="15"/>
  <c r="F208" i="15"/>
  <c r="L199" i="15"/>
  <c r="AE106" i="15"/>
  <c r="E205" i="15"/>
  <c r="G204" i="15"/>
  <c r="L219" i="15"/>
  <c r="M189" i="15"/>
  <c r="G190" i="15"/>
  <c r="F209" i="15"/>
  <c r="C216" i="15"/>
  <c r="N209" i="15"/>
  <c r="H196" i="15"/>
  <c r="C227" i="15"/>
  <c r="L202" i="15"/>
  <c r="G222" i="15"/>
  <c r="F212" i="15"/>
  <c r="C193" i="15"/>
  <c r="H222" i="15"/>
  <c r="I227" i="15"/>
  <c r="AE80" i="15"/>
  <c r="E213" i="15"/>
  <c r="C223" i="15"/>
  <c r="N191" i="15"/>
  <c r="D194" i="15"/>
  <c r="E222" i="15"/>
  <c r="I191" i="15"/>
  <c r="N225" i="15"/>
  <c r="I223" i="15"/>
  <c r="F191" i="15"/>
  <c r="C203" i="15"/>
  <c r="N204" i="15"/>
  <c r="AE79" i="15"/>
  <c r="E189" i="15"/>
  <c r="G216" i="15"/>
  <c r="D217" i="15"/>
  <c r="D204" i="15"/>
  <c r="C224" i="15"/>
  <c r="E223" i="15"/>
  <c r="D200" i="15"/>
  <c r="E217" i="15"/>
  <c r="M223" i="15"/>
  <c r="H226" i="15"/>
  <c r="G226" i="15"/>
  <c r="C217" i="15"/>
  <c r="I192" i="15"/>
  <c r="G227" i="15"/>
  <c r="D215" i="15"/>
  <c r="I214" i="15"/>
  <c r="L224" i="15"/>
  <c r="G225" i="15"/>
  <c r="AE69" i="15"/>
  <c r="AE94" i="15"/>
  <c r="N205" i="15"/>
  <c r="H225" i="15"/>
  <c r="D224" i="15"/>
  <c r="D209" i="15"/>
  <c r="AE88" i="15"/>
  <c r="E208" i="15"/>
  <c r="F214" i="15"/>
  <c r="C225" i="15"/>
  <c r="M212" i="15"/>
  <c r="L217" i="15"/>
  <c r="D216" i="15"/>
  <c r="L227" i="15"/>
  <c r="N210" i="15"/>
  <c r="D212" i="15"/>
  <c r="G220" i="15"/>
  <c r="N222" i="15"/>
  <c r="M209" i="15"/>
  <c r="M217" i="15"/>
  <c r="L204" i="15"/>
  <c r="C190" i="15"/>
  <c r="G197" i="15"/>
  <c r="G200" i="15"/>
  <c r="AE105" i="15"/>
  <c r="H195" i="15"/>
  <c r="M219" i="15"/>
  <c r="M210" i="15"/>
  <c r="AE96" i="15"/>
  <c r="M197" i="15"/>
  <c r="M222" i="15"/>
  <c r="N203" i="15"/>
  <c r="E191" i="15"/>
  <c r="I208" i="15"/>
  <c r="D202" i="15"/>
  <c r="L226" i="15"/>
  <c r="C201" i="15"/>
  <c r="I220" i="15"/>
  <c r="C211" i="15"/>
  <c r="D205" i="15"/>
  <c r="M193" i="15"/>
  <c r="G214" i="15"/>
  <c r="I199" i="15"/>
  <c r="M215" i="15"/>
  <c r="L208" i="15"/>
  <c r="AE90" i="15"/>
  <c r="N223" i="15"/>
  <c r="D213" i="15"/>
  <c r="M221" i="15"/>
  <c r="L193" i="15"/>
  <c r="N226" i="15"/>
  <c r="M195" i="15"/>
  <c r="N211" i="15"/>
  <c r="H221" i="15"/>
  <c r="N216" i="15"/>
  <c r="I211" i="15"/>
  <c r="C202" i="15"/>
  <c r="H190" i="15"/>
  <c r="L201" i="15"/>
  <c r="I198" i="15"/>
  <c r="G210" i="15"/>
  <c r="C205" i="15"/>
  <c r="E196" i="15"/>
  <c r="L222" i="15"/>
  <c r="H220" i="15"/>
  <c r="C194" i="15"/>
  <c r="AE85" i="15"/>
  <c r="E193" i="15"/>
  <c r="I205" i="15"/>
  <c r="E219" i="15"/>
  <c r="H213" i="15"/>
  <c r="E203" i="15"/>
  <c r="AE81" i="15"/>
  <c r="C208" i="15"/>
  <c r="I212" i="15"/>
  <c r="I201" i="15"/>
  <c r="H200" i="15"/>
  <c r="I222" i="15"/>
  <c r="F207" i="15"/>
  <c r="G198" i="15"/>
  <c r="I221" i="15"/>
  <c r="L216" i="15"/>
  <c r="N198" i="15"/>
  <c r="C189" i="15"/>
  <c r="H216" i="15"/>
  <c r="AE75" i="15"/>
  <c r="AE95" i="15"/>
  <c r="I200" i="15"/>
  <c r="I217" i="15"/>
  <c r="C212" i="15"/>
  <c r="N220" i="15"/>
  <c r="C209" i="15"/>
  <c r="I218" i="15"/>
  <c r="N200" i="15"/>
  <c r="L194" i="15"/>
  <c r="N196" i="15"/>
  <c r="M214" i="15"/>
  <c r="I207" i="15"/>
  <c r="I228" i="15"/>
  <c r="D218" i="15"/>
  <c r="N221" i="15"/>
  <c r="E212" i="15"/>
  <c r="L214" i="15"/>
  <c r="D196" i="15"/>
  <c r="M216" i="15"/>
  <c r="G189" i="15"/>
  <c r="G223" i="15"/>
  <c r="AE74" i="15"/>
  <c r="D223" i="15"/>
  <c r="L211" i="15"/>
  <c r="L198" i="15"/>
  <c r="E218" i="15"/>
  <c r="E214" i="15"/>
  <c r="E192" i="15"/>
  <c r="L203" i="15"/>
  <c r="I213" i="15"/>
  <c r="E200" i="15"/>
  <c r="D220" i="15"/>
  <c r="H207" i="15"/>
  <c r="D225" i="15"/>
  <c r="AE83" i="15"/>
  <c r="D197" i="15"/>
  <c r="G192" i="15"/>
  <c r="N197" i="15"/>
  <c r="AE84" i="15"/>
  <c r="N215" i="15"/>
  <c r="D201" i="15"/>
  <c r="E227" i="15"/>
  <c r="AE102" i="15"/>
  <c r="D208" i="15"/>
  <c r="L191" i="15"/>
  <c r="AE73" i="15"/>
  <c r="C222" i="15"/>
  <c r="I193" i="15"/>
  <c r="AE70" i="15"/>
  <c r="G209" i="15"/>
  <c r="C197" i="15"/>
  <c r="D199" i="15"/>
  <c r="G205" i="15"/>
  <c r="L195" i="15"/>
  <c r="M227" i="15"/>
  <c r="G195" i="15"/>
  <c r="G228" i="15"/>
  <c r="C219" i="15"/>
  <c r="H203" i="15"/>
  <c r="H208" i="15"/>
  <c r="F190" i="15"/>
  <c r="C192" i="15"/>
  <c r="F194" i="15"/>
  <c r="G224" i="15"/>
  <c r="G208" i="15"/>
  <c r="C221" i="15"/>
  <c r="N207" i="15"/>
  <c r="G193" i="15"/>
  <c r="L197" i="15"/>
  <c r="H191" i="15"/>
  <c r="AE89" i="15"/>
  <c r="H210" i="15"/>
  <c r="F192" i="15"/>
  <c r="L196" i="15"/>
  <c r="H197" i="15"/>
  <c r="E228" i="15"/>
  <c r="D207" i="15"/>
  <c r="H198" i="15"/>
  <c r="D206" i="15"/>
  <c r="L209" i="15"/>
  <c r="M199" i="15"/>
  <c r="E224" i="15"/>
  <c r="M207" i="15"/>
  <c r="E202" i="15"/>
  <c r="M228" i="15"/>
  <c r="H194" i="15"/>
  <c r="E204" i="15"/>
  <c r="G211" i="15"/>
  <c r="H212" i="15"/>
  <c r="E211" i="15"/>
  <c r="AE93" i="15"/>
  <c r="I226" i="15"/>
  <c r="C218" i="15"/>
  <c r="D192" i="15"/>
  <c r="D211" i="15"/>
  <c r="AE78" i="15"/>
  <c r="C213" i="15"/>
  <c r="AE71" i="15"/>
  <c r="AE92" i="15"/>
  <c r="M224" i="15"/>
  <c r="N212" i="15"/>
  <c r="N213" i="15"/>
  <c r="N214" i="15"/>
  <c r="D219" i="15"/>
  <c r="M196" i="15"/>
  <c r="D203" i="15"/>
  <c r="N192" i="15"/>
  <c r="H211" i="15"/>
  <c r="M191" i="15"/>
  <c r="H217" i="15"/>
  <c r="E201" i="15"/>
  <c r="L228" i="15"/>
  <c r="C207" i="15"/>
  <c r="G221" i="15"/>
  <c r="L210" i="15"/>
  <c r="M201" i="15"/>
  <c r="E199" i="15"/>
  <c r="N224" i="15"/>
  <c r="D195" i="15"/>
  <c r="AE76" i="15"/>
  <c r="L221" i="15"/>
  <c r="I203" i="15"/>
  <c r="I189" i="15"/>
  <c r="H228" i="15"/>
  <c r="M220" i="15"/>
  <c r="H224" i="15"/>
  <c r="L189" i="15"/>
  <c r="G213" i="15"/>
  <c r="I190" i="15"/>
  <c r="E209" i="15"/>
  <c r="G207" i="15"/>
  <c r="L190" i="15"/>
  <c r="E216" i="15"/>
  <c r="G203" i="15"/>
  <c r="D227" i="15"/>
  <c r="D226" i="15"/>
  <c r="AE86" i="15"/>
  <c r="I219" i="15"/>
  <c r="AE107" i="15"/>
  <c r="N189" i="15"/>
  <c r="E225" i="15"/>
  <c r="C228" i="15"/>
  <c r="I206" i="15"/>
  <c r="D228" i="15"/>
  <c r="G202" i="15"/>
  <c r="M194" i="15"/>
  <c r="E198" i="15"/>
  <c r="H214" i="15"/>
  <c r="H189" i="15"/>
  <c r="G201" i="15"/>
  <c r="C220" i="15"/>
  <c r="AE99" i="15"/>
  <c r="AE97" i="15"/>
  <c r="G217" i="15"/>
  <c r="L218" i="15"/>
  <c r="F217" i="15"/>
  <c r="N194" i="15"/>
  <c r="I195" i="15"/>
  <c r="L223" i="15"/>
  <c r="D191" i="15"/>
  <c r="E210" i="15"/>
  <c r="I197" i="15"/>
  <c r="H192" i="15"/>
  <c r="N190" i="15"/>
  <c r="M208" i="15"/>
  <c r="D190" i="15"/>
  <c r="H219" i="15"/>
  <c r="G206" i="15"/>
  <c r="M204" i="15"/>
  <c r="M200" i="15"/>
  <c r="F189" i="15"/>
  <c r="AE104" i="15"/>
  <c r="L205" i="15"/>
  <c r="N201" i="15"/>
  <c r="M226" i="15"/>
  <c r="E207" i="15"/>
  <c r="M192" i="15"/>
  <c r="N228" i="15"/>
  <c r="M202" i="15"/>
  <c r="D193" i="15"/>
  <c r="H205" i="15"/>
  <c r="C204" i="15"/>
  <c r="C191" i="15"/>
  <c r="H209" i="15"/>
  <c r="E206" i="15"/>
  <c r="F203" i="15"/>
  <c r="C196" i="15"/>
  <c r="G212" i="15"/>
  <c r="N227" i="15"/>
  <c r="I210" i="15"/>
  <c r="M203" i="15"/>
  <c r="L206" i="15"/>
  <c r="I196" i="15"/>
  <c r="D221" i="15"/>
  <c r="N202" i="15"/>
  <c r="AE77" i="15"/>
  <c r="L212" i="15"/>
  <c r="AE72" i="15"/>
  <c r="C226" i="15"/>
  <c r="G196" i="15"/>
  <c r="E195" i="15"/>
  <c r="C214" i="15"/>
  <c r="E190" i="15"/>
  <c r="D198" i="15"/>
  <c r="D189" i="15"/>
  <c r="M205" i="15"/>
  <c r="E194" i="15"/>
  <c r="AE91" i="15"/>
  <c r="M213" i="15"/>
  <c r="H193" i="15"/>
  <c r="N195" i="15"/>
  <c r="H215" i="15"/>
  <c r="I215" i="15"/>
  <c r="C215" i="15"/>
  <c r="C200" i="15"/>
  <c r="L207" i="15"/>
  <c r="AE100" i="15"/>
  <c r="E226" i="15"/>
  <c r="L213" i="15"/>
  <c r="H202" i="15"/>
  <c r="L225" i="15"/>
  <c r="N208" i="15"/>
  <c r="E215" i="15"/>
  <c r="C210" i="15"/>
  <c r="D214" i="15"/>
  <c r="I216" i="15"/>
  <c r="C198" i="15"/>
  <c r="G218" i="15"/>
  <c r="D222" i="15"/>
  <c r="I204" i="15"/>
  <c r="D210" i="15"/>
  <c r="H199" i="15"/>
  <c r="AE68" i="15"/>
  <c r="I202" i="15"/>
  <c r="C206" i="15"/>
  <c r="I209" i="15"/>
  <c r="H204" i="15"/>
  <c r="M206" i="15"/>
  <c r="N219" i="15"/>
  <c r="E220" i="15"/>
  <c r="L200" i="15"/>
  <c r="AE103" i="15"/>
  <c r="C195" i="15"/>
  <c r="N217" i="15"/>
  <c r="H227" i="15"/>
  <c r="I224" i="15"/>
  <c r="N206" i="15"/>
  <c r="F223" i="15"/>
  <c r="M225" i="15"/>
  <c r="AE101" i="15"/>
  <c r="G191" i="15"/>
  <c r="H201" i="15"/>
  <c r="L220" i="15"/>
  <c r="N193" i="15"/>
  <c r="M218" i="15"/>
  <c r="I225" i="15"/>
  <c r="L192" i="15"/>
  <c r="AE82" i="15"/>
  <c r="M190" i="15"/>
  <c r="F227" i="15"/>
  <c r="C199" i="15"/>
  <c r="E197" i="15"/>
  <c r="G215" i="15"/>
  <c r="M211" i="15"/>
  <c r="H223" i="15"/>
  <c r="I194" i="15"/>
  <c r="H218" i="15"/>
  <c r="AE98" i="15"/>
  <c r="N199" i="15"/>
  <c r="G219" i="15"/>
  <c r="M198" i="15"/>
  <c r="AE87" i="15"/>
  <c r="G194" i="15"/>
  <c r="F205" i="15"/>
  <c r="L215" i="15"/>
  <c r="E221" i="15"/>
  <c r="N218" i="15"/>
  <c r="G199" i="15"/>
  <c r="B17" i="15"/>
  <c r="B189" i="15"/>
  <c r="B221" i="15"/>
  <c r="B217" i="15"/>
  <c r="O88" i="15"/>
  <c r="B201" i="15"/>
  <c r="O76" i="15"/>
  <c r="O72" i="15"/>
  <c r="C81" i="119"/>
  <c r="D81" i="119" s="1"/>
  <c r="I4" i="119"/>
  <c r="C82" i="119" s="1"/>
  <c r="D82" i="119" s="1"/>
  <c r="H4" i="119"/>
  <c r="B228" i="15"/>
  <c r="O99" i="15"/>
  <c r="B212" i="15"/>
  <c r="O87" i="15"/>
  <c r="O83" i="15"/>
  <c r="O74" i="15"/>
  <c r="O107" i="15"/>
  <c r="B220" i="15"/>
  <c r="O91" i="15"/>
  <c r="B208" i="15"/>
  <c r="B204" i="15"/>
  <c r="B195" i="15"/>
  <c r="B227" i="15"/>
  <c r="O90" i="15"/>
  <c r="O75" i="15"/>
  <c r="O70" i="15"/>
  <c r="O106" i="15"/>
  <c r="B211" i="15"/>
  <c r="B196" i="15"/>
  <c r="B191" i="15"/>
  <c r="C78" i="119"/>
  <c r="D78" i="119" s="1"/>
  <c r="H3" i="119"/>
  <c r="I3" i="119"/>
  <c r="C79" i="119" s="1"/>
  <c r="D79" i="119" s="1"/>
  <c r="O101" i="15"/>
  <c r="O97" i="15"/>
  <c r="B210" i="15"/>
  <c r="O85" i="15"/>
  <c r="O81" i="15"/>
  <c r="O77" i="15"/>
  <c r="O73" i="15"/>
  <c r="O69" i="15"/>
  <c r="B222" i="15"/>
  <c r="B218" i="15"/>
  <c r="O89" i="15"/>
  <c r="B206" i="15"/>
  <c r="B202" i="15"/>
  <c r="B198" i="15"/>
  <c r="B194" i="15"/>
  <c r="B190" i="15"/>
  <c r="B156" i="15"/>
  <c r="F159" i="15"/>
  <c r="B177" i="15"/>
  <c r="F155" i="15"/>
  <c r="F171" i="15"/>
  <c r="F178" i="15"/>
  <c r="F164" i="15"/>
  <c r="F177" i="15"/>
  <c r="F181" i="15"/>
  <c r="B178" i="15"/>
  <c r="B153" i="15"/>
  <c r="F154" i="15"/>
  <c r="F139" i="15"/>
  <c r="B160" i="15"/>
  <c r="F152" i="15"/>
  <c r="B145" i="15"/>
  <c r="B158" i="15"/>
  <c r="F157" i="15"/>
  <c r="B179" i="15"/>
  <c r="F168" i="15"/>
  <c r="F146" i="15"/>
  <c r="F166" i="15"/>
  <c r="F175" i="15"/>
  <c r="F169" i="15"/>
  <c r="B167" i="15"/>
  <c r="B176" i="15"/>
  <c r="F151" i="15"/>
  <c r="F179" i="15"/>
  <c r="F163" i="15"/>
  <c r="B166" i="15"/>
  <c r="F149" i="15"/>
  <c r="F140" i="15"/>
  <c r="F172" i="15"/>
  <c r="B141" i="15"/>
  <c r="B152" i="15"/>
  <c r="F150" i="15"/>
  <c r="F148" i="15"/>
  <c r="B169" i="15"/>
  <c r="F141" i="15"/>
  <c r="B168" i="15"/>
  <c r="B172" i="15"/>
  <c r="F173" i="15"/>
  <c r="F153" i="15"/>
  <c r="F174" i="15"/>
  <c r="F215" i="15" l="1"/>
  <c r="F220" i="15"/>
  <c r="F221" i="15"/>
  <c r="F199" i="15"/>
  <c r="F226" i="15"/>
  <c r="F225" i="15"/>
  <c r="F228" i="15"/>
  <c r="F197" i="15"/>
  <c r="F213" i="15"/>
  <c r="F202" i="15"/>
  <c r="F204" i="15"/>
  <c r="F211" i="15"/>
  <c r="F216" i="15"/>
  <c r="F196" i="15"/>
  <c r="F210" i="15"/>
  <c r="F193" i="15"/>
  <c r="F200" i="15"/>
  <c r="F198" i="15"/>
  <c r="F222" i="15"/>
  <c r="F201" i="15"/>
  <c r="F206" i="15"/>
  <c r="F219" i="15"/>
  <c r="F195" i="15"/>
  <c r="F218" i="15"/>
  <c r="F224" i="15"/>
  <c r="H5" i="119"/>
  <c r="C83" i="119" s="1"/>
  <c r="D83" i="119" s="1"/>
  <c r="E24" i="15"/>
  <c r="I5" i="119"/>
  <c r="C85" i="119" s="1"/>
  <c r="D85" i="119" s="1"/>
  <c r="C84" i="119"/>
  <c r="D84" i="119" s="1"/>
  <c r="D37" i="14"/>
  <c r="W115" i="15"/>
  <c r="G37" i="14"/>
  <c r="H37" i="14"/>
  <c r="E23" i="15"/>
  <c r="E37" i="14"/>
  <c r="F37" i="14"/>
  <c r="O82" i="15"/>
  <c r="B203" i="15"/>
  <c r="O71" i="15"/>
  <c r="B192" i="15"/>
  <c r="B225" i="15"/>
  <c r="O104" i="15"/>
  <c r="O86" i="15"/>
  <c r="B207" i="15"/>
  <c r="B205" i="15"/>
  <c r="O84" i="15"/>
  <c r="B199" i="15"/>
  <c r="O78" i="15"/>
  <c r="B200" i="15"/>
  <c r="O79" i="15"/>
  <c r="O98" i="15"/>
  <c r="B219" i="15"/>
  <c r="O95" i="15"/>
  <c r="B216" i="15"/>
  <c r="O93" i="15"/>
  <c r="B214" i="15"/>
  <c r="O92" i="15"/>
  <c r="B213" i="15"/>
  <c r="B226" i="15"/>
  <c r="O105" i="15"/>
  <c r="B224" i="15"/>
  <c r="O103" i="15"/>
  <c r="O94" i="15"/>
  <c r="B215" i="15"/>
  <c r="B223" i="15"/>
  <c r="O102" i="15"/>
  <c r="E100" i="34"/>
  <c r="C100" i="34"/>
  <c r="C37" i="34"/>
  <c r="D100" i="34"/>
  <c r="C38" i="34"/>
  <c r="E101" i="34"/>
  <c r="D101" i="34"/>
  <c r="C101" i="34"/>
  <c r="C95" i="34"/>
  <c r="D85" i="34" s="1"/>
  <c r="E95" i="34"/>
  <c r="F85" i="34" s="1"/>
  <c r="F86" i="34" s="1"/>
  <c r="D95" i="34"/>
  <c r="B203" i="119"/>
  <c r="H231" i="15"/>
  <c r="E231" i="15"/>
  <c r="E27" i="24"/>
  <c r="G13" i="24"/>
  <c r="G27" i="24" s="1"/>
  <c r="AE116" i="15"/>
  <c r="L231" i="15"/>
  <c r="E115" i="6"/>
  <c r="L101" i="119"/>
  <c r="C77" i="119"/>
  <c r="D77" i="119" s="1"/>
  <c r="N231" i="15"/>
  <c r="C231" i="15"/>
  <c r="B57" i="15"/>
  <c r="D61" i="34"/>
  <c r="C61" i="34"/>
  <c r="D32" i="34"/>
  <c r="E61" i="34"/>
  <c r="C53" i="34"/>
  <c r="E110" i="34"/>
  <c r="D110" i="34"/>
  <c r="C110" i="34"/>
  <c r="D231" i="15"/>
  <c r="G231" i="15"/>
  <c r="M231" i="15"/>
  <c r="B18" i="15"/>
  <c r="B19" i="15"/>
  <c r="L102" i="119"/>
  <c r="C80" i="119"/>
  <c r="D80" i="119" s="1"/>
  <c r="I231" i="15"/>
  <c r="F231" i="15" l="1"/>
  <c r="F232" i="15" s="1"/>
  <c r="F233" i="15" s="1"/>
  <c r="I37" i="34" s="1"/>
  <c r="L103" i="119"/>
  <c r="E25" i="15"/>
  <c r="O115" i="15"/>
  <c r="B122" i="15" s="1"/>
  <c r="B231" i="15"/>
  <c r="B232" i="15" s="1"/>
  <c r="B233" i="15" s="1"/>
  <c r="I32" i="34" s="1"/>
  <c r="O114" i="15"/>
  <c r="O116" i="15"/>
  <c r="O117" i="15" s="1"/>
  <c r="T48" i="119" s="1"/>
  <c r="E165" i="119" s="1"/>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I232" i="15"/>
  <c r="M232" i="15"/>
  <c r="G232" i="15"/>
  <c r="G233" i="15" s="1"/>
  <c r="I38" i="34" s="1"/>
  <c r="D232" i="15"/>
  <c r="E232" i="15"/>
  <c r="H232" i="15"/>
  <c r="L232" i="15"/>
  <c r="C232" i="15"/>
  <c r="N232" i="15"/>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AC55" i="15"/>
  <c r="AC57" i="15" s="1"/>
  <c r="C5" i="24"/>
  <c r="C88" i="6"/>
  <c r="F116" i="34" l="1"/>
  <c r="F115" i="34"/>
  <c r="B204" i="119"/>
  <c r="C204" i="119" s="1"/>
  <c r="B205" i="119" s="1"/>
  <c r="J36" i="33"/>
  <c r="C21" i="33"/>
  <c r="C23" i="33"/>
  <c r="D119" i="6"/>
  <c r="E119" i="6" s="1"/>
  <c r="D120" i="6"/>
  <c r="D121" i="6"/>
  <c r="E121" i="6" s="1"/>
  <c r="D123" i="6"/>
  <c r="E123" i="6" s="1"/>
  <c r="D116" i="6"/>
  <c r="E116" i="6" s="1"/>
  <c r="D103" i="6"/>
  <c r="E103" i="6" s="1"/>
  <c r="E104" i="6" s="1"/>
  <c r="E106" i="6" s="1"/>
  <c r="B52" i="15" s="1"/>
  <c r="K65" i="15" s="1"/>
  <c r="P114" i="15"/>
  <c r="P116" i="15"/>
  <c r="P117" i="15" s="1"/>
  <c r="U48" i="119" s="1"/>
  <c r="E166" i="119" s="1"/>
  <c r="P115" i="15"/>
  <c r="B123" i="15" s="1"/>
  <c r="C38" i="33"/>
  <c r="D204" i="119" l="1"/>
  <c r="C205" i="119"/>
  <c r="D205" i="119" s="1"/>
  <c r="C53" i="33"/>
  <c r="C55" i="33" s="1"/>
  <c r="E120" i="6"/>
  <c r="C68" i="33"/>
  <c r="C26" i="33" s="1"/>
  <c r="C24" i="33"/>
  <c r="K114" i="15"/>
  <c r="K116" i="15"/>
  <c r="K117" i="15" s="1"/>
  <c r="Q48" i="119" s="1"/>
  <c r="E162" i="119" s="1"/>
  <c r="K115" i="15"/>
  <c r="J133" i="15" l="1"/>
  <c r="F42" i="34" s="1"/>
  <c r="B206" i="119"/>
  <c r="C54" i="33"/>
  <c r="C107" i="33"/>
  <c r="C99" i="33"/>
  <c r="C95" i="33"/>
  <c r="C83" i="33"/>
  <c r="C106" i="33"/>
  <c r="C82" i="33"/>
  <c r="C94" i="33"/>
  <c r="C98" i="33"/>
  <c r="C56" i="33"/>
  <c r="C57" i="33"/>
  <c r="C75" i="33"/>
  <c r="C70" i="33"/>
  <c r="C71" i="33" s="1"/>
  <c r="C74" i="33"/>
  <c r="J31" i="33" s="1"/>
  <c r="J34" i="33" s="1"/>
  <c r="J131" i="15" l="1"/>
  <c r="J185" i="15" s="1"/>
  <c r="D87" i="34"/>
  <c r="D88" i="34" s="1"/>
  <c r="F47" i="34"/>
  <c r="C47" i="34" s="1"/>
  <c r="K139" i="15"/>
  <c r="K140" i="15"/>
  <c r="K141" i="15"/>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Q106" i="15" s="1"/>
  <c r="K181" i="15"/>
  <c r="Q107" i="15" s="1"/>
  <c r="C206" i="119"/>
  <c r="D206" i="119" s="1"/>
  <c r="C100" i="33"/>
  <c r="E18" i="17" s="1"/>
  <c r="F18" i="17" s="1"/>
  <c r="C58" i="33"/>
  <c r="J40" i="33"/>
  <c r="J22" i="33"/>
  <c r="G21" i="34"/>
  <c r="K45" i="33"/>
  <c r="J25" i="33"/>
  <c r="C78" i="33"/>
  <c r="J38" i="33" s="1"/>
  <c r="J23" i="33"/>
  <c r="C86" i="33"/>
  <c r="J39" i="33" s="1"/>
  <c r="J24" i="33"/>
  <c r="J27" i="33" l="1"/>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E51" i="17"/>
  <c r="F51" i="17" s="1"/>
  <c r="E55" i="17"/>
  <c r="F55" i="17" s="1"/>
  <c r="E48" i="17"/>
  <c r="F48" i="17" s="1"/>
  <c r="E22" i="17"/>
  <c r="F22" i="17" s="1"/>
  <c r="E44" i="17"/>
  <c r="F44" i="17" s="1"/>
  <c r="E23" i="17"/>
  <c r="F23" i="17" s="1"/>
  <c r="E56" i="17"/>
  <c r="F56" i="17" s="1"/>
  <c r="G20" i="34"/>
  <c r="H21" i="34"/>
  <c r="J26" i="33"/>
  <c r="J148" i="15"/>
  <c r="J172" i="15"/>
  <c r="J178" i="15"/>
  <c r="J154" i="15"/>
  <c r="J150" i="15"/>
  <c r="J141" i="15"/>
  <c r="J174" i="15"/>
  <c r="J173" i="15"/>
  <c r="J177" i="15"/>
  <c r="J143" i="15"/>
  <c r="J162" i="15"/>
  <c r="J169" i="15"/>
  <c r="J155" i="15"/>
  <c r="J165" i="15"/>
  <c r="J175" i="15"/>
  <c r="J164" i="15"/>
  <c r="J140" i="15"/>
  <c r="J170" i="15"/>
  <c r="J160" i="15"/>
  <c r="J158" i="15"/>
  <c r="J176" i="15"/>
  <c r="J161" i="15"/>
  <c r="J171" i="15"/>
  <c r="J168" i="15"/>
  <c r="J139" i="15"/>
  <c r="J144" i="15"/>
  <c r="J181" i="15"/>
  <c r="J157" i="15"/>
  <c r="J153" i="15"/>
  <c r="J179" i="15"/>
  <c r="J142" i="15"/>
  <c r="J146" i="15"/>
  <c r="J167" i="15"/>
  <c r="J145" i="15"/>
  <c r="J166" i="15"/>
  <c r="J151" i="15"/>
  <c r="J159" i="15"/>
  <c r="J180" i="15"/>
  <c r="E42" i="34" l="1"/>
  <c r="C42" i="34" s="1"/>
  <c r="C55" i="34" s="1"/>
  <c r="D52" i="34" s="1"/>
  <c r="B71" i="34"/>
  <c r="B120" i="34"/>
  <c r="B105" i="34"/>
  <c r="G42" i="34"/>
  <c r="J197" i="15"/>
  <c r="Q116" i="15"/>
  <c r="Q118" i="15" s="1"/>
  <c r="L48" i="119" s="1"/>
  <c r="E156" i="119" s="1"/>
  <c r="Q115" i="15"/>
  <c r="B124" i="15" s="1"/>
  <c r="Q114" i="15"/>
  <c r="K231" i="15"/>
  <c r="K232" i="15" s="1"/>
  <c r="K233" i="15" s="1"/>
  <c r="I47" i="34" s="1"/>
  <c r="J225" i="15"/>
  <c r="J205" i="15"/>
  <c r="J227" i="15"/>
  <c r="J215" i="15"/>
  <c r="J189" i="15"/>
  <c r="J223" i="15"/>
  <c r="J209" i="15"/>
  <c r="J206" i="15"/>
  <c r="J208" i="15"/>
  <c r="J218" i="15"/>
  <c r="J226" i="15"/>
  <c r="J216" i="15"/>
  <c r="J195" i="15"/>
  <c r="J201" i="15"/>
  <c r="J202" i="15"/>
  <c r="J217" i="15"/>
  <c r="J211" i="15"/>
  <c r="J190" i="15"/>
  <c r="J198" i="15"/>
  <c r="J193" i="15"/>
  <c r="J207" i="15"/>
  <c r="J212" i="15"/>
  <c r="J214" i="15"/>
  <c r="J191" i="15"/>
  <c r="J219" i="15"/>
  <c r="J192" i="15"/>
  <c r="J220" i="15"/>
  <c r="J213" i="15"/>
  <c r="J222" i="15"/>
  <c r="J224" i="15"/>
  <c r="J204" i="15"/>
  <c r="J228" i="15"/>
  <c r="J221" i="15"/>
  <c r="J200" i="15"/>
  <c r="C207" i="119"/>
  <c r="D207" i="119" s="1"/>
  <c r="E158" i="6"/>
  <c r="B58" i="15" s="1"/>
  <c r="C89" i="6"/>
  <c r="J43" i="33"/>
  <c r="K46" i="33" s="1"/>
  <c r="G19" i="34"/>
  <c r="G22" i="34" s="1"/>
  <c r="K47" i="33"/>
  <c r="H19" i="34" s="1"/>
  <c r="J152" i="15"/>
  <c r="J147" i="15"/>
  <c r="J156" i="15"/>
  <c r="J163" i="15"/>
  <c r="J149" i="15"/>
  <c r="C98" i="6" l="1"/>
  <c r="E98" i="6" s="1"/>
  <c r="C92" i="6"/>
  <c r="E92" i="6" s="1"/>
  <c r="C95" i="6"/>
  <c r="E95" i="6" s="1"/>
  <c r="J196" i="15"/>
  <c r="J210" i="15"/>
  <c r="J194" i="15"/>
  <c r="J203" i="15"/>
  <c r="J199" i="15"/>
  <c r="E105" i="34"/>
  <c r="F83" i="34" s="1"/>
  <c r="F89" i="34" s="1"/>
  <c r="C105" i="34"/>
  <c r="D83" i="34" s="1"/>
  <c r="D84" i="34" s="1"/>
  <c r="E160" i="6" s="1"/>
  <c r="D105" i="34"/>
  <c r="E83" i="34" s="1"/>
  <c r="E84" i="34" s="1"/>
  <c r="B208" i="119"/>
  <c r="C120" i="34"/>
  <c r="C121" i="34" s="1"/>
  <c r="D77" i="34" s="1"/>
  <c r="D120" i="34"/>
  <c r="D121" i="34" s="1"/>
  <c r="E77" i="34" s="1"/>
  <c r="E120" i="34"/>
  <c r="E121" i="34" s="1"/>
  <c r="F77" i="34" s="1"/>
  <c r="C71" i="34"/>
  <c r="E71" i="34"/>
  <c r="D71" i="34"/>
  <c r="D42"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C93" i="6"/>
  <c r="E93" i="6" s="1"/>
  <c r="J231" i="15" l="1"/>
  <c r="J232" i="15" s="1"/>
  <c r="J233" i="15" s="1"/>
  <c r="D89" i="34"/>
  <c r="D78" i="34" s="1"/>
  <c r="D80" i="34" s="1"/>
  <c r="F84" i="34"/>
  <c r="E89" i="34"/>
  <c r="E90" i="34" s="1"/>
  <c r="F105" i="34"/>
  <c r="G83" i="34" s="1"/>
  <c r="G84" i="34" s="1"/>
  <c r="C208" i="119"/>
  <c r="D208" i="119" s="1"/>
  <c r="F120" i="34"/>
  <c r="F121" i="34" s="1"/>
  <c r="G77" i="34" s="1"/>
  <c r="E162" i="6" s="1"/>
  <c r="E163" i="6" s="1"/>
  <c r="E99" i="6"/>
  <c r="G26" i="17" s="1"/>
  <c r="H26" i="17" s="1"/>
  <c r="I76" i="15" s="1"/>
  <c r="R114" i="15"/>
  <c r="R116" i="15"/>
  <c r="R117" i="15" s="1"/>
  <c r="V48" i="119" s="1"/>
  <c r="E167" i="119" s="1"/>
  <c r="R115" i="15"/>
  <c r="B125" i="15" s="1"/>
  <c r="F78" i="34"/>
  <c r="F80" i="34" s="1"/>
  <c r="F90" i="34"/>
  <c r="G89" i="34" l="1"/>
  <c r="G90" i="34" s="1"/>
  <c r="D90" i="34"/>
  <c r="E78" i="34"/>
  <c r="E80" i="34" s="1"/>
  <c r="B209" i="119"/>
  <c r="G49" i="17"/>
  <c r="H49" i="17" s="1"/>
  <c r="I99" i="15" s="1"/>
  <c r="B83" i="14" s="1"/>
  <c r="G37" i="17"/>
  <c r="H37" i="17" s="1"/>
  <c r="I87" i="15" s="1"/>
  <c r="B71" i="14" s="1"/>
  <c r="G20" i="17"/>
  <c r="H20" i="17" s="1"/>
  <c r="I70" i="15" s="1"/>
  <c r="B54" i="14" s="1"/>
  <c r="G43" i="17"/>
  <c r="H43" i="17" s="1"/>
  <c r="I93" i="15" s="1"/>
  <c r="B77" i="14" s="1"/>
  <c r="G39" i="17"/>
  <c r="H39" i="17" s="1"/>
  <c r="I89" i="15" s="1"/>
  <c r="B73" i="14" s="1"/>
  <c r="G30" i="17"/>
  <c r="H30" i="17" s="1"/>
  <c r="I80" i="15" s="1"/>
  <c r="B64" i="14" s="1"/>
  <c r="G54" i="17"/>
  <c r="H54" i="17" s="1"/>
  <c r="I104" i="15" s="1"/>
  <c r="B88" i="14" s="1"/>
  <c r="G40" i="17"/>
  <c r="H40" i="17" s="1"/>
  <c r="I90" i="15" s="1"/>
  <c r="B74" i="14" s="1"/>
  <c r="G18" i="17"/>
  <c r="H18" i="17" s="1"/>
  <c r="I68" i="15" s="1"/>
  <c r="G47" i="17"/>
  <c r="H47" i="17" s="1"/>
  <c r="I97" i="15" s="1"/>
  <c r="B81" i="14" s="1"/>
  <c r="G46" i="17"/>
  <c r="H46" i="17" s="1"/>
  <c r="I96" i="15" s="1"/>
  <c r="B80" i="14" s="1"/>
  <c r="G57" i="17"/>
  <c r="H57" i="17" s="1"/>
  <c r="I107" i="15" s="1"/>
  <c r="B91" i="14" s="1"/>
  <c r="G23" i="17"/>
  <c r="H23" i="17" s="1"/>
  <c r="I73" i="15" s="1"/>
  <c r="B57" i="14" s="1"/>
  <c r="G56" i="17"/>
  <c r="H56" i="17" s="1"/>
  <c r="I106" i="15" s="1"/>
  <c r="B90" i="14" s="1"/>
  <c r="G53" i="17"/>
  <c r="H53" i="17" s="1"/>
  <c r="I103" i="15" s="1"/>
  <c r="B87" i="14" s="1"/>
  <c r="G51" i="17"/>
  <c r="H51" i="17" s="1"/>
  <c r="I101" i="15" s="1"/>
  <c r="B85" i="14" s="1"/>
  <c r="G25" i="17"/>
  <c r="H25" i="17" s="1"/>
  <c r="I75" i="15" s="1"/>
  <c r="B59" i="14" s="1"/>
  <c r="G38" i="17"/>
  <c r="H38" i="17" s="1"/>
  <c r="I88" i="15" s="1"/>
  <c r="B72" i="14" s="1"/>
  <c r="G34" i="17"/>
  <c r="H34" i="17" s="1"/>
  <c r="I84" i="15" s="1"/>
  <c r="B68" i="14" s="1"/>
  <c r="G31" i="17"/>
  <c r="H31" i="17" s="1"/>
  <c r="I81" i="15" s="1"/>
  <c r="B65" i="14" s="1"/>
  <c r="G19" i="17"/>
  <c r="H19" i="17" s="1"/>
  <c r="I69" i="15" s="1"/>
  <c r="B53" i="14" s="1"/>
  <c r="C108" i="6"/>
  <c r="G50" i="17"/>
  <c r="H50" i="17" s="1"/>
  <c r="I100" i="15" s="1"/>
  <c r="B84" i="14" s="1"/>
  <c r="G27" i="17"/>
  <c r="H27" i="17" s="1"/>
  <c r="I77" i="15" s="1"/>
  <c r="B61" i="14" s="1"/>
  <c r="G21" i="17"/>
  <c r="H21" i="17" s="1"/>
  <c r="I71" i="15" s="1"/>
  <c r="B55" i="14" s="1"/>
  <c r="G48" i="17"/>
  <c r="H48" i="17" s="1"/>
  <c r="I98" i="15" s="1"/>
  <c r="B82" i="14" s="1"/>
  <c r="G42" i="17"/>
  <c r="H42" i="17" s="1"/>
  <c r="I92" i="15" s="1"/>
  <c r="B76" i="14" s="1"/>
  <c r="G35" i="17"/>
  <c r="H35" i="17" s="1"/>
  <c r="I85" i="15" s="1"/>
  <c r="B69" i="14" s="1"/>
  <c r="G32" i="17"/>
  <c r="H32" i="17" s="1"/>
  <c r="I82" i="15" s="1"/>
  <c r="B66" i="14" s="1"/>
  <c r="G55" i="17"/>
  <c r="H55" i="17" s="1"/>
  <c r="I105" i="15" s="1"/>
  <c r="B89" i="14" s="1"/>
  <c r="G41" i="17"/>
  <c r="H41" i="17" s="1"/>
  <c r="I91" i="15" s="1"/>
  <c r="B75" i="14" s="1"/>
  <c r="G24" i="17"/>
  <c r="H24" i="17" s="1"/>
  <c r="I74" i="15" s="1"/>
  <c r="B58" i="14" s="1"/>
  <c r="G22" i="17"/>
  <c r="H22" i="17" s="1"/>
  <c r="I72" i="15" s="1"/>
  <c r="B56" i="14" s="1"/>
  <c r="G33" i="17"/>
  <c r="H33" i="17" s="1"/>
  <c r="I83" i="15" s="1"/>
  <c r="B67" i="14" s="1"/>
  <c r="G44" i="17"/>
  <c r="H44" i="17" s="1"/>
  <c r="I94" i="15" s="1"/>
  <c r="B78" i="14" s="1"/>
  <c r="G52" i="17"/>
  <c r="H52" i="17" s="1"/>
  <c r="I102" i="15" s="1"/>
  <c r="B86" i="14" s="1"/>
  <c r="G36" i="17"/>
  <c r="H36" i="17" s="1"/>
  <c r="I86" i="15" s="1"/>
  <c r="B70" i="14" s="1"/>
  <c r="G45" i="17"/>
  <c r="H45" i="17" s="1"/>
  <c r="I95" i="15" s="1"/>
  <c r="B79" i="14" s="1"/>
  <c r="G29" i="17"/>
  <c r="H29" i="17" s="1"/>
  <c r="I79" i="15" s="1"/>
  <c r="B63" i="14" s="1"/>
  <c r="G28" i="17"/>
  <c r="H28" i="17" s="1"/>
  <c r="I78" i="15" s="1"/>
  <c r="B62" i="14" s="1"/>
  <c r="B60" i="14"/>
  <c r="C15" i="34" l="1"/>
  <c r="G78" i="34"/>
  <c r="G80" i="34" s="1"/>
  <c r="C209" i="119"/>
  <c r="D209" i="119" s="1"/>
  <c r="B51" i="15"/>
  <c r="H65" i="15" s="1"/>
  <c r="E118" i="6"/>
  <c r="E124" i="6" s="1"/>
  <c r="C9" i="119" s="1"/>
  <c r="I199" i="119" s="1"/>
  <c r="C8" i="119"/>
  <c r="I116" i="15"/>
  <c r="I117" i="15" s="1"/>
  <c r="O48" i="119" s="1"/>
  <c r="E160" i="119" s="1"/>
  <c r="I114" i="15"/>
  <c r="I115" i="15"/>
  <c r="F60" i="14"/>
  <c r="Q60" i="14"/>
  <c r="U60" i="14"/>
  <c r="H60" i="14"/>
  <c r="T60" i="14"/>
  <c r="D60" i="14"/>
  <c r="O60" i="14"/>
  <c r="P60" i="14"/>
  <c r="K60" i="14"/>
  <c r="L60" i="14"/>
  <c r="V60" i="14"/>
  <c r="I60" i="14"/>
  <c r="R60" i="14"/>
  <c r="J60" i="14"/>
  <c r="S60" i="14"/>
  <c r="M60" i="14"/>
  <c r="E60" i="14"/>
  <c r="N60" i="14"/>
  <c r="G60" i="14"/>
  <c r="C60" i="14"/>
  <c r="W60" i="14"/>
  <c r="F79" i="14"/>
  <c r="S79" i="14"/>
  <c r="G79" i="14"/>
  <c r="O79" i="14"/>
  <c r="J79" i="14"/>
  <c r="N79" i="14"/>
  <c r="T79" i="14"/>
  <c r="K79" i="14"/>
  <c r="M79" i="14"/>
  <c r="U79" i="14"/>
  <c r="D79" i="14"/>
  <c r="L79" i="14"/>
  <c r="H79" i="14"/>
  <c r="P79" i="14"/>
  <c r="I79" i="14"/>
  <c r="V79" i="14"/>
  <c r="Q79" i="14"/>
  <c r="R79" i="14"/>
  <c r="E79" i="14"/>
  <c r="W79" i="14"/>
  <c r="C79" i="14"/>
  <c r="R74" i="14"/>
  <c r="H74" i="14"/>
  <c r="N74" i="14"/>
  <c r="K74" i="14"/>
  <c r="U74" i="14"/>
  <c r="M74" i="14"/>
  <c r="D74" i="14"/>
  <c r="L74" i="14"/>
  <c r="T74" i="14"/>
  <c r="V74" i="14"/>
  <c r="S74" i="14"/>
  <c r="G74" i="14"/>
  <c r="W74" i="14"/>
  <c r="J74" i="14"/>
  <c r="I74" i="14"/>
  <c r="Q74" i="14"/>
  <c r="E74" i="14"/>
  <c r="F74" i="14"/>
  <c r="P74" i="14"/>
  <c r="O74" i="14"/>
  <c r="C74" i="14"/>
  <c r="G56" i="14"/>
  <c r="U56" i="14"/>
  <c r="L56" i="14"/>
  <c r="R56" i="14"/>
  <c r="T56" i="14"/>
  <c r="H56" i="14"/>
  <c r="D56" i="14"/>
  <c r="I56" i="14"/>
  <c r="O56" i="14"/>
  <c r="K56" i="14"/>
  <c r="J56" i="14"/>
  <c r="S56" i="14"/>
  <c r="N56" i="14"/>
  <c r="F56" i="14"/>
  <c r="M56" i="14"/>
  <c r="Q56" i="14"/>
  <c r="E56" i="14"/>
  <c r="P56" i="14"/>
  <c r="V56" i="14"/>
  <c r="C56" i="14"/>
  <c r="W56" i="14"/>
  <c r="I73" i="14"/>
  <c r="N73" i="14"/>
  <c r="R73" i="14"/>
  <c r="H73" i="14"/>
  <c r="E73" i="14"/>
  <c r="M73" i="14"/>
  <c r="L73" i="14"/>
  <c r="V73" i="14"/>
  <c r="G73" i="14"/>
  <c r="J73" i="14"/>
  <c r="D73" i="14"/>
  <c r="W73" i="14"/>
  <c r="K73" i="14"/>
  <c r="T73" i="14"/>
  <c r="U73" i="14"/>
  <c r="Q73" i="14"/>
  <c r="F73" i="14"/>
  <c r="S73" i="14"/>
  <c r="O73" i="14"/>
  <c r="P73" i="14"/>
  <c r="C73" i="14"/>
  <c r="O71" i="14"/>
  <c r="Q71" i="14"/>
  <c r="S71" i="14"/>
  <c r="F71" i="14"/>
  <c r="L71" i="14"/>
  <c r="I71" i="14"/>
  <c r="T71" i="14"/>
  <c r="V71" i="14"/>
  <c r="M71" i="14"/>
  <c r="G71" i="14"/>
  <c r="J71" i="14"/>
  <c r="H71" i="14"/>
  <c r="N71" i="14"/>
  <c r="K71" i="14"/>
  <c r="E71" i="14"/>
  <c r="R71" i="14"/>
  <c r="P71" i="14"/>
  <c r="U71" i="14"/>
  <c r="D71" i="14"/>
  <c r="C71" i="14"/>
  <c r="W71" i="14"/>
  <c r="T59" i="14"/>
  <c r="E59" i="14"/>
  <c r="I59" i="14"/>
  <c r="V59" i="14"/>
  <c r="G59" i="14"/>
  <c r="F59" i="14"/>
  <c r="L59" i="14"/>
  <c r="M59" i="14"/>
  <c r="O59" i="14"/>
  <c r="R59" i="14"/>
  <c r="P59" i="14"/>
  <c r="K59" i="14"/>
  <c r="U59" i="14"/>
  <c r="S59" i="14"/>
  <c r="D59" i="14"/>
  <c r="N59" i="14"/>
  <c r="H59" i="14"/>
  <c r="J59" i="14"/>
  <c r="Q59" i="14"/>
  <c r="C59" i="14"/>
  <c r="W59" i="14"/>
  <c r="F68" i="14"/>
  <c r="R68" i="14"/>
  <c r="J68" i="14"/>
  <c r="G68" i="14"/>
  <c r="P68" i="14"/>
  <c r="L68" i="14"/>
  <c r="I68" i="14"/>
  <c r="O68" i="14"/>
  <c r="T68" i="14"/>
  <c r="E68" i="14"/>
  <c r="D68" i="14"/>
  <c r="Q68" i="14"/>
  <c r="N68" i="14"/>
  <c r="U68" i="14"/>
  <c r="K68" i="14"/>
  <c r="S68" i="14"/>
  <c r="V68" i="14"/>
  <c r="M68" i="14"/>
  <c r="H68" i="14"/>
  <c r="C68" i="14"/>
  <c r="W68" i="14"/>
  <c r="O85" i="14"/>
  <c r="U85" i="14"/>
  <c r="W85" i="14"/>
  <c r="J85" i="14"/>
  <c r="L85" i="14"/>
  <c r="V85" i="14"/>
  <c r="H85" i="14"/>
  <c r="D85" i="14"/>
  <c r="F85" i="14"/>
  <c r="Q85" i="14"/>
  <c r="K85" i="14"/>
  <c r="T85" i="14"/>
  <c r="S85" i="14"/>
  <c r="R85" i="14"/>
  <c r="G85" i="14"/>
  <c r="I85" i="14"/>
  <c r="N85" i="14"/>
  <c r="M85" i="14"/>
  <c r="P85" i="14"/>
  <c r="E85" i="14"/>
  <c r="C85" i="14"/>
  <c r="K63" i="14"/>
  <c r="O63" i="14"/>
  <c r="L63" i="14"/>
  <c r="D63" i="14"/>
  <c r="M63" i="14"/>
  <c r="H63" i="14"/>
  <c r="G63" i="14"/>
  <c r="F63" i="14"/>
  <c r="I63" i="14"/>
  <c r="S63" i="14"/>
  <c r="U63" i="14"/>
  <c r="E63" i="14"/>
  <c r="T63" i="14"/>
  <c r="Q63" i="14"/>
  <c r="N63" i="14"/>
  <c r="R63" i="14"/>
  <c r="J63" i="14"/>
  <c r="V63" i="14"/>
  <c r="P63" i="14"/>
  <c r="C63" i="14"/>
  <c r="W63" i="14"/>
  <c r="L53" i="14"/>
  <c r="V53" i="14"/>
  <c r="E53" i="14"/>
  <c r="F53" i="14"/>
  <c r="Q53" i="14"/>
  <c r="G53" i="14"/>
  <c r="R53" i="14"/>
  <c r="J53" i="14"/>
  <c r="K53" i="14"/>
  <c r="I53" i="14"/>
  <c r="O53" i="14"/>
  <c r="S53" i="14"/>
  <c r="U53" i="14"/>
  <c r="T53" i="14"/>
  <c r="D53" i="14"/>
  <c r="P53" i="14"/>
  <c r="M53" i="14"/>
  <c r="H53" i="14"/>
  <c r="N53" i="14"/>
  <c r="C53" i="14"/>
  <c r="W53" i="14"/>
  <c r="H86" i="14"/>
  <c r="I86" i="14"/>
  <c r="L86" i="14"/>
  <c r="J86" i="14"/>
  <c r="R86" i="14"/>
  <c r="T86" i="14"/>
  <c r="N86" i="14"/>
  <c r="D86" i="14"/>
  <c r="O86" i="14"/>
  <c r="F86" i="14"/>
  <c r="E86" i="14"/>
  <c r="K86" i="14"/>
  <c r="W86" i="14"/>
  <c r="U86" i="14"/>
  <c r="S86" i="14"/>
  <c r="Q86" i="14"/>
  <c r="M86" i="14"/>
  <c r="V86" i="14"/>
  <c r="P86" i="14"/>
  <c r="G86" i="14"/>
  <c r="C86" i="14"/>
  <c r="I80" i="14"/>
  <c r="U80" i="14"/>
  <c r="T80" i="14"/>
  <c r="H80" i="14"/>
  <c r="R80" i="14"/>
  <c r="S80" i="14"/>
  <c r="O80" i="14"/>
  <c r="G80" i="14"/>
  <c r="M80" i="14"/>
  <c r="P80" i="14"/>
  <c r="W80" i="14"/>
  <c r="V80" i="14"/>
  <c r="F80" i="14"/>
  <c r="Q80" i="14"/>
  <c r="K80" i="14"/>
  <c r="L80" i="14"/>
  <c r="D80" i="14"/>
  <c r="E80" i="14"/>
  <c r="N80" i="14"/>
  <c r="J80" i="14"/>
  <c r="C80" i="14"/>
  <c r="H75" i="14"/>
  <c r="L75" i="14"/>
  <c r="I75" i="14"/>
  <c r="F75" i="14"/>
  <c r="O75" i="14"/>
  <c r="J75" i="14"/>
  <c r="W75" i="14"/>
  <c r="V75" i="14"/>
  <c r="K75" i="14"/>
  <c r="N75" i="14"/>
  <c r="G75" i="14"/>
  <c r="U75" i="14"/>
  <c r="R75" i="14"/>
  <c r="E75" i="14"/>
  <c r="Q75" i="14"/>
  <c r="P75" i="14"/>
  <c r="M75" i="14"/>
  <c r="T75" i="14"/>
  <c r="S75" i="14"/>
  <c r="D75" i="14"/>
  <c r="C75" i="14"/>
  <c r="D82" i="14"/>
  <c r="E82" i="14"/>
  <c r="P82" i="14"/>
  <c r="U82" i="14"/>
  <c r="F82" i="14"/>
  <c r="S82" i="14"/>
  <c r="G82" i="14"/>
  <c r="O82" i="14"/>
  <c r="R82" i="14"/>
  <c r="V82" i="14"/>
  <c r="J82" i="14"/>
  <c r="M82" i="14"/>
  <c r="Q82" i="14"/>
  <c r="W82" i="14"/>
  <c r="I82" i="14"/>
  <c r="L82" i="14"/>
  <c r="T82" i="14"/>
  <c r="K82" i="14"/>
  <c r="N82" i="14"/>
  <c r="H82" i="14"/>
  <c r="C82" i="14"/>
  <c r="K69" i="14"/>
  <c r="O69" i="14"/>
  <c r="D69" i="14"/>
  <c r="S69" i="14"/>
  <c r="E69" i="14"/>
  <c r="P69" i="14"/>
  <c r="F69" i="14"/>
  <c r="Q69" i="14"/>
  <c r="U69" i="14"/>
  <c r="I69" i="14"/>
  <c r="G69" i="14"/>
  <c r="M69" i="14"/>
  <c r="R69" i="14"/>
  <c r="L69" i="14"/>
  <c r="T69" i="14"/>
  <c r="V69" i="14"/>
  <c r="J69" i="14"/>
  <c r="H69" i="14"/>
  <c r="N69" i="14"/>
  <c r="C69" i="14"/>
  <c r="W69" i="14"/>
  <c r="M55" i="14"/>
  <c r="H55" i="14"/>
  <c r="R55" i="14"/>
  <c r="N55" i="14"/>
  <c r="E55" i="14"/>
  <c r="G55" i="14"/>
  <c r="I55" i="14"/>
  <c r="F55" i="14"/>
  <c r="O55" i="14"/>
  <c r="V55" i="14"/>
  <c r="K55" i="14"/>
  <c r="T55" i="14"/>
  <c r="L55" i="14"/>
  <c r="D55" i="14"/>
  <c r="Q55" i="14"/>
  <c r="U55" i="14"/>
  <c r="S55" i="14"/>
  <c r="J55" i="14"/>
  <c r="P55" i="14"/>
  <c r="C55" i="14"/>
  <c r="W55" i="14"/>
  <c r="E78" i="14"/>
  <c r="U78" i="14"/>
  <c r="O78" i="14"/>
  <c r="P78" i="14"/>
  <c r="T78" i="14"/>
  <c r="S78" i="14"/>
  <c r="Q78" i="14"/>
  <c r="J78" i="14"/>
  <c r="D78" i="14"/>
  <c r="W78" i="14"/>
  <c r="F78" i="14"/>
  <c r="V78" i="14"/>
  <c r="H78" i="14"/>
  <c r="G78" i="14"/>
  <c r="L78" i="14"/>
  <c r="R78" i="14"/>
  <c r="K78" i="14"/>
  <c r="N78" i="14"/>
  <c r="I78" i="14"/>
  <c r="M78" i="14"/>
  <c r="C78" i="14"/>
  <c r="D62" i="14"/>
  <c r="G62" i="14"/>
  <c r="R62" i="14"/>
  <c r="I62" i="14"/>
  <c r="E62" i="14"/>
  <c r="V62" i="14"/>
  <c r="P62" i="14"/>
  <c r="J62" i="14"/>
  <c r="F62" i="14"/>
  <c r="U62" i="14"/>
  <c r="O62" i="14"/>
  <c r="M62" i="14"/>
  <c r="H62" i="14"/>
  <c r="T62" i="14"/>
  <c r="L62" i="14"/>
  <c r="S62" i="14"/>
  <c r="K62" i="14"/>
  <c r="N62" i="14"/>
  <c r="Q62" i="14"/>
  <c r="C62" i="14"/>
  <c r="W62" i="14"/>
  <c r="L87" i="14"/>
  <c r="P87" i="14"/>
  <c r="S87" i="14"/>
  <c r="E87" i="14"/>
  <c r="N87" i="14"/>
  <c r="O87" i="14"/>
  <c r="T87" i="14"/>
  <c r="J87" i="14"/>
  <c r="V87" i="14"/>
  <c r="M87" i="14"/>
  <c r="G87" i="14"/>
  <c r="D87" i="14"/>
  <c r="R87" i="14"/>
  <c r="F87" i="14"/>
  <c r="W87" i="14"/>
  <c r="H87" i="14"/>
  <c r="U87" i="14"/>
  <c r="I87" i="14"/>
  <c r="K87" i="14"/>
  <c r="Q87" i="14"/>
  <c r="C87" i="14"/>
  <c r="Q58" i="14"/>
  <c r="N58" i="14"/>
  <c r="P58" i="14"/>
  <c r="L58" i="14"/>
  <c r="I58" i="14"/>
  <c r="J58" i="14"/>
  <c r="S58" i="14"/>
  <c r="U58" i="14"/>
  <c r="H58" i="14"/>
  <c r="G58" i="14"/>
  <c r="E58" i="14"/>
  <c r="K58" i="14"/>
  <c r="V58" i="14"/>
  <c r="O58" i="14"/>
  <c r="M58" i="14"/>
  <c r="T58" i="14"/>
  <c r="F58" i="14"/>
  <c r="D58" i="14"/>
  <c r="R58" i="14"/>
  <c r="C58" i="14"/>
  <c r="W58" i="14"/>
  <c r="K77" i="14"/>
  <c r="T77" i="14"/>
  <c r="O77" i="14"/>
  <c r="E77" i="14"/>
  <c r="Q77" i="14"/>
  <c r="L77" i="14"/>
  <c r="S77" i="14"/>
  <c r="D77" i="14"/>
  <c r="U77" i="14"/>
  <c r="I77" i="14"/>
  <c r="P77" i="14"/>
  <c r="F77" i="14"/>
  <c r="V77" i="14"/>
  <c r="J77" i="14"/>
  <c r="H77" i="14"/>
  <c r="N77" i="14"/>
  <c r="W77" i="14"/>
  <c r="M77" i="14"/>
  <c r="R77" i="14"/>
  <c r="G77" i="14"/>
  <c r="C77" i="14"/>
  <c r="K57" i="14"/>
  <c r="P57" i="14"/>
  <c r="S57" i="14"/>
  <c r="L57" i="14"/>
  <c r="T57" i="14"/>
  <c r="G57" i="14"/>
  <c r="J57" i="14"/>
  <c r="Q57" i="14"/>
  <c r="I57" i="14"/>
  <c r="H57" i="14"/>
  <c r="F57" i="14"/>
  <c r="N57" i="14"/>
  <c r="O57" i="14"/>
  <c r="M57" i="14"/>
  <c r="D57" i="14"/>
  <c r="U57" i="14"/>
  <c r="R57" i="14"/>
  <c r="E57" i="14"/>
  <c r="V57" i="14"/>
  <c r="C57" i="14"/>
  <c r="W57" i="14"/>
  <c r="M89" i="14"/>
  <c r="F89" i="14"/>
  <c r="T89" i="14"/>
  <c r="R89" i="14"/>
  <c r="V89" i="14"/>
  <c r="U89" i="14"/>
  <c r="G89" i="14"/>
  <c r="S89" i="14"/>
  <c r="P89" i="14"/>
  <c r="N89" i="14"/>
  <c r="H89" i="14"/>
  <c r="K89" i="14"/>
  <c r="L89" i="14"/>
  <c r="D89" i="14"/>
  <c r="O89" i="14"/>
  <c r="E89" i="14"/>
  <c r="W89" i="14"/>
  <c r="Q89" i="14"/>
  <c r="I89" i="14"/>
  <c r="J89" i="14"/>
  <c r="C89" i="14"/>
  <c r="P70" i="14"/>
  <c r="Q70" i="14"/>
  <c r="M70" i="14"/>
  <c r="R70" i="14"/>
  <c r="T70" i="14"/>
  <c r="O70" i="14"/>
  <c r="K70" i="14"/>
  <c r="E70" i="14"/>
  <c r="I70" i="14"/>
  <c r="L70" i="14"/>
  <c r="U70" i="14"/>
  <c r="S70" i="14"/>
  <c r="V70" i="14"/>
  <c r="J70" i="14"/>
  <c r="D70" i="14"/>
  <c r="N70" i="14"/>
  <c r="G70" i="14"/>
  <c r="F70" i="14"/>
  <c r="H70" i="14"/>
  <c r="C70" i="14"/>
  <c r="W70" i="14"/>
  <c r="V81" i="14"/>
  <c r="F81" i="14"/>
  <c r="S81" i="14"/>
  <c r="L81" i="14"/>
  <c r="Q81" i="14"/>
  <c r="J81" i="14"/>
  <c r="W81" i="14"/>
  <c r="R81" i="14"/>
  <c r="K81" i="14"/>
  <c r="N81" i="14"/>
  <c r="M81" i="14"/>
  <c r="E81" i="14"/>
  <c r="T81" i="14"/>
  <c r="U81" i="14"/>
  <c r="I81" i="14"/>
  <c r="H81" i="14"/>
  <c r="O81" i="14"/>
  <c r="D81" i="14"/>
  <c r="P81" i="14"/>
  <c r="G81" i="14"/>
  <c r="C81" i="14"/>
  <c r="P88" i="14"/>
  <c r="T88" i="14"/>
  <c r="G88" i="14"/>
  <c r="N88" i="14"/>
  <c r="O88" i="14"/>
  <c r="L88" i="14"/>
  <c r="D88" i="14"/>
  <c r="F88" i="14"/>
  <c r="V88" i="14"/>
  <c r="R88" i="14"/>
  <c r="E88" i="14"/>
  <c r="U88" i="14"/>
  <c r="M88" i="14"/>
  <c r="J88" i="14"/>
  <c r="W88" i="14"/>
  <c r="K88" i="14"/>
  <c r="I88" i="14"/>
  <c r="H88" i="14"/>
  <c r="Q88" i="14"/>
  <c r="S88" i="14"/>
  <c r="C88" i="14"/>
  <c r="V83" i="14"/>
  <c r="Q83" i="14"/>
  <c r="U83" i="14"/>
  <c r="P83" i="14"/>
  <c r="D83" i="14"/>
  <c r="J83" i="14"/>
  <c r="E83" i="14"/>
  <c r="R83" i="14"/>
  <c r="M83" i="14"/>
  <c r="T83" i="14"/>
  <c r="I83" i="14"/>
  <c r="G83" i="14"/>
  <c r="L83" i="14"/>
  <c r="H83" i="14"/>
  <c r="F83" i="14"/>
  <c r="O83" i="14"/>
  <c r="N83" i="14"/>
  <c r="K83" i="14"/>
  <c r="W83" i="14"/>
  <c r="S83" i="14"/>
  <c r="C83" i="14"/>
  <c r="T76" i="14"/>
  <c r="H76" i="14"/>
  <c r="M76" i="14"/>
  <c r="N76" i="14"/>
  <c r="Q76" i="14"/>
  <c r="R76" i="14"/>
  <c r="G76" i="14"/>
  <c r="V76" i="14"/>
  <c r="I76" i="14"/>
  <c r="E76" i="14"/>
  <c r="J76" i="14"/>
  <c r="D76" i="14"/>
  <c r="W76" i="14"/>
  <c r="S76" i="14"/>
  <c r="O76" i="14"/>
  <c r="L76" i="14"/>
  <c r="F76" i="14"/>
  <c r="P76" i="14"/>
  <c r="K76" i="14"/>
  <c r="U76" i="14"/>
  <c r="C76" i="14"/>
  <c r="H61" i="14"/>
  <c r="U61" i="14"/>
  <c r="E61" i="14"/>
  <c r="M61" i="14"/>
  <c r="Q61" i="14"/>
  <c r="S61" i="14"/>
  <c r="J61" i="14"/>
  <c r="D61" i="14"/>
  <c r="N61" i="14"/>
  <c r="F61" i="14"/>
  <c r="K61" i="14"/>
  <c r="O61" i="14"/>
  <c r="G61" i="14"/>
  <c r="L61" i="14"/>
  <c r="V61" i="14"/>
  <c r="P61" i="14"/>
  <c r="T61" i="14"/>
  <c r="R61" i="14"/>
  <c r="I61" i="14"/>
  <c r="C61" i="14"/>
  <c r="W61" i="14"/>
  <c r="M65" i="14"/>
  <c r="F65" i="14"/>
  <c r="G65" i="14"/>
  <c r="I65" i="14"/>
  <c r="R65" i="14"/>
  <c r="P65" i="14"/>
  <c r="T65" i="14"/>
  <c r="H65" i="14"/>
  <c r="K65" i="14"/>
  <c r="O65" i="14"/>
  <c r="N65" i="14"/>
  <c r="Q65" i="14"/>
  <c r="S65" i="14"/>
  <c r="U65" i="14"/>
  <c r="E65" i="14"/>
  <c r="V65" i="14"/>
  <c r="L65" i="14"/>
  <c r="D65" i="14"/>
  <c r="J65" i="14"/>
  <c r="C65" i="14"/>
  <c r="W65" i="14"/>
  <c r="M72" i="14"/>
  <c r="G72" i="14"/>
  <c r="K72" i="14"/>
  <c r="E72" i="14"/>
  <c r="O72" i="14"/>
  <c r="T72" i="14"/>
  <c r="J72" i="14"/>
  <c r="P72" i="14"/>
  <c r="S72" i="14"/>
  <c r="U72" i="14"/>
  <c r="V72" i="14"/>
  <c r="Q72" i="14"/>
  <c r="D72" i="14"/>
  <c r="N72" i="14"/>
  <c r="L72" i="14"/>
  <c r="H72" i="14"/>
  <c r="R72" i="14"/>
  <c r="F72" i="14"/>
  <c r="I72" i="14"/>
  <c r="C72" i="14"/>
  <c r="W72" i="14"/>
  <c r="H90" i="14"/>
  <c r="K90" i="14"/>
  <c r="U90" i="14"/>
  <c r="T90" i="14"/>
  <c r="G90" i="14"/>
  <c r="I90" i="14"/>
  <c r="J90" i="14"/>
  <c r="S90" i="14"/>
  <c r="V90" i="14"/>
  <c r="D90" i="14"/>
  <c r="M90" i="14"/>
  <c r="N90" i="14"/>
  <c r="W90" i="14"/>
  <c r="O90" i="14"/>
  <c r="P90" i="14"/>
  <c r="F90" i="14"/>
  <c r="L90" i="14"/>
  <c r="Q90" i="14"/>
  <c r="E90" i="14"/>
  <c r="R90" i="14"/>
  <c r="C90" i="14"/>
  <c r="K64" i="14"/>
  <c r="G64" i="14"/>
  <c r="E64" i="14"/>
  <c r="T64" i="14"/>
  <c r="U64" i="14"/>
  <c r="S64" i="14"/>
  <c r="M64" i="14"/>
  <c r="R64" i="14"/>
  <c r="J64" i="14"/>
  <c r="F64" i="14"/>
  <c r="H64" i="14"/>
  <c r="V64" i="14"/>
  <c r="P64" i="14"/>
  <c r="O64" i="14"/>
  <c r="Q64" i="14"/>
  <c r="D64" i="14"/>
  <c r="N64" i="14"/>
  <c r="I64" i="14"/>
  <c r="L64" i="14"/>
  <c r="C64" i="14"/>
  <c r="W64" i="14"/>
  <c r="F54" i="14"/>
  <c r="R54" i="14"/>
  <c r="I54" i="14"/>
  <c r="J54" i="14"/>
  <c r="M54" i="14"/>
  <c r="T54" i="14"/>
  <c r="H54" i="14"/>
  <c r="V54" i="14"/>
  <c r="Q54" i="14"/>
  <c r="P54" i="14"/>
  <c r="K54" i="14"/>
  <c r="U54" i="14"/>
  <c r="S54" i="14"/>
  <c r="G54" i="14"/>
  <c r="D54" i="14"/>
  <c r="O54" i="14"/>
  <c r="L54" i="14"/>
  <c r="E54" i="14"/>
  <c r="N54" i="14"/>
  <c r="C54" i="14"/>
  <c r="W54" i="14"/>
  <c r="J84" i="14"/>
  <c r="R84" i="14"/>
  <c r="O84" i="14"/>
  <c r="H84" i="14"/>
  <c r="I84" i="14"/>
  <c r="V84" i="14"/>
  <c r="G84" i="14"/>
  <c r="N84" i="14"/>
  <c r="S84" i="14"/>
  <c r="M84" i="14"/>
  <c r="U84" i="14"/>
  <c r="F84" i="14"/>
  <c r="T84" i="14"/>
  <c r="W84" i="14"/>
  <c r="L84" i="14"/>
  <c r="Q84" i="14"/>
  <c r="E84" i="14"/>
  <c r="D84" i="14"/>
  <c r="P84" i="14"/>
  <c r="K84" i="14"/>
  <c r="C84" i="14"/>
  <c r="S91" i="14"/>
  <c r="J91" i="14"/>
  <c r="O91" i="14"/>
  <c r="R91" i="14"/>
  <c r="H91" i="14"/>
  <c r="D91" i="14"/>
  <c r="V91" i="14"/>
  <c r="T91" i="14"/>
  <c r="L91" i="14"/>
  <c r="W91" i="14"/>
  <c r="B164" i="14" s="1"/>
  <c r="N91" i="14"/>
  <c r="Q91" i="14"/>
  <c r="K91" i="14"/>
  <c r="U91" i="14"/>
  <c r="C91" i="14"/>
  <c r="P91" i="14"/>
  <c r="E91" i="14"/>
  <c r="I91" i="14"/>
  <c r="F91" i="14"/>
  <c r="M91" i="14"/>
  <c r="G91" i="14"/>
  <c r="L67" i="14"/>
  <c r="K67" i="14"/>
  <c r="F67" i="14"/>
  <c r="D67" i="14"/>
  <c r="G67" i="14"/>
  <c r="P67" i="14"/>
  <c r="N67" i="14"/>
  <c r="S67" i="14"/>
  <c r="M67" i="14"/>
  <c r="I67" i="14"/>
  <c r="O67" i="14"/>
  <c r="T67" i="14"/>
  <c r="R67" i="14"/>
  <c r="V67" i="14"/>
  <c r="U67" i="14"/>
  <c r="E67" i="14"/>
  <c r="J67" i="14"/>
  <c r="Q67" i="14"/>
  <c r="H67" i="14"/>
  <c r="C67" i="14"/>
  <c r="W67" i="14"/>
  <c r="G66" i="14"/>
  <c r="H66" i="14"/>
  <c r="R66" i="14"/>
  <c r="M66" i="14"/>
  <c r="D66" i="14"/>
  <c r="J66" i="14"/>
  <c r="O66" i="14"/>
  <c r="I66" i="14"/>
  <c r="V66" i="14"/>
  <c r="E66" i="14"/>
  <c r="P66" i="14"/>
  <c r="K66" i="14"/>
  <c r="T66" i="14"/>
  <c r="U66" i="14"/>
  <c r="F66" i="14"/>
  <c r="S66" i="14"/>
  <c r="Q66" i="14"/>
  <c r="L66" i="14"/>
  <c r="N66" i="14"/>
  <c r="C66" i="14"/>
  <c r="W66" i="14"/>
  <c r="B210" i="119" l="1"/>
  <c r="C93" i="119"/>
  <c r="D93" i="119" s="1"/>
  <c r="H199" i="119"/>
  <c r="C198" i="119" s="1"/>
  <c r="B56" i="15"/>
  <c r="N86" i="15" s="1"/>
  <c r="H8" i="119"/>
  <c r="C92" i="119" s="1"/>
  <c r="D92" i="119" s="1"/>
  <c r="I8" i="119"/>
  <c r="C94" i="119" s="1"/>
  <c r="D94" i="119" s="1"/>
  <c r="G65" i="15"/>
  <c r="B53" i="15"/>
  <c r="B55" i="15" s="1"/>
  <c r="L107" i="15" s="1"/>
  <c r="L115" i="15" s="1"/>
  <c r="H67" i="15"/>
  <c r="H66" i="15"/>
  <c r="B54" i="15"/>
  <c r="M107" i="15" s="1"/>
  <c r="M114" i="15" s="1"/>
  <c r="B160" i="14"/>
  <c r="B163" i="14"/>
  <c r="B161" i="14"/>
  <c r="B158" i="14"/>
  <c r="B155" i="14"/>
  <c r="B162" i="14"/>
  <c r="B154" i="14"/>
  <c r="X72" i="14"/>
  <c r="X88" i="14"/>
  <c r="X80" i="14"/>
  <c r="X68" i="14"/>
  <c r="X74" i="14"/>
  <c r="B148" i="14"/>
  <c r="B152" i="14"/>
  <c r="B149" i="14"/>
  <c r="X66" i="14"/>
  <c r="B159" i="14"/>
  <c r="X60" i="14"/>
  <c r="B147" i="14"/>
  <c r="B135" i="14"/>
  <c r="U103" i="15" s="1"/>
  <c r="B150" i="14"/>
  <c r="B151" i="14"/>
  <c r="B153" i="14"/>
  <c r="X58" i="14"/>
  <c r="X82" i="14"/>
  <c r="X63" i="14"/>
  <c r="X73" i="14"/>
  <c r="X84" i="14"/>
  <c r="X54" i="14"/>
  <c r="B129" i="14"/>
  <c r="U97" i="15" s="1"/>
  <c r="B130" i="14"/>
  <c r="U98" i="15" s="1"/>
  <c r="X78" i="14"/>
  <c r="B136" i="14"/>
  <c r="U104" i="15" s="1"/>
  <c r="B156" i="14"/>
  <c r="X90" i="14"/>
  <c r="X61" i="14"/>
  <c r="B138" i="14"/>
  <c r="U106" i="15" s="1"/>
  <c r="X77" i="14"/>
  <c r="X62" i="14"/>
  <c r="B121" i="14"/>
  <c r="U89" i="15" s="1"/>
  <c r="X83" i="14"/>
  <c r="X70" i="14"/>
  <c r="B137" i="14"/>
  <c r="U105" i="15" s="1"/>
  <c r="X53" i="14"/>
  <c r="B139" i="14"/>
  <c r="X67" i="14"/>
  <c r="B146" i="14"/>
  <c r="B133" i="14"/>
  <c r="U101" i="15" s="1"/>
  <c r="X87" i="14"/>
  <c r="X69" i="14"/>
  <c r="X85" i="14"/>
  <c r="X71" i="14"/>
  <c r="B128" i="14"/>
  <c r="U96" i="15" s="1"/>
  <c r="B157" i="14"/>
  <c r="B132" i="14"/>
  <c r="U100" i="15" s="1"/>
  <c r="X65" i="14"/>
  <c r="X81" i="14"/>
  <c r="B125" i="14"/>
  <c r="U93" i="15" s="1"/>
  <c r="X75" i="14"/>
  <c r="B124" i="14"/>
  <c r="U92" i="15" s="1"/>
  <c r="B134" i="14"/>
  <c r="U102" i="15" s="1"/>
  <c r="X91" i="14"/>
  <c r="X64" i="14"/>
  <c r="X76" i="14"/>
  <c r="X57" i="14"/>
  <c r="B123" i="14"/>
  <c r="U91" i="15" s="1"/>
  <c r="B127" i="14"/>
  <c r="U95" i="15" s="1"/>
  <c r="X56" i="14"/>
  <c r="C96" i="119"/>
  <c r="D96" i="119" s="1"/>
  <c r="H9" i="119"/>
  <c r="I9" i="119"/>
  <c r="C97" i="119" s="1"/>
  <c r="D97" i="119" s="1"/>
  <c r="D147" i="119" s="1"/>
  <c r="B140" i="14"/>
  <c r="C140" i="14" s="1"/>
  <c r="C141" i="14" s="1"/>
  <c r="X89" i="14"/>
  <c r="B126" i="14"/>
  <c r="U94" i="15" s="1"/>
  <c r="X55" i="14"/>
  <c r="X86" i="14"/>
  <c r="B131" i="14"/>
  <c r="U99" i="15" s="1"/>
  <c r="X59" i="14"/>
  <c r="X79" i="14"/>
  <c r="B122" i="14"/>
  <c r="U90" i="15" s="1"/>
  <c r="G114" i="15" l="1"/>
  <c r="C14" i="13"/>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D101" i="119" s="1"/>
  <c r="L116" i="15"/>
  <c r="L118" i="15" s="1"/>
  <c r="M48" i="119" s="1"/>
  <c r="E157" i="119" s="1"/>
  <c r="L114" i="15"/>
  <c r="M115" i="15"/>
  <c r="B120" i="15" s="1"/>
  <c r="H115" i="15"/>
  <c r="H116" i="15"/>
  <c r="H117" i="15" s="1"/>
  <c r="G115" i="15"/>
  <c r="H114" i="15"/>
  <c r="G116" i="15"/>
  <c r="B44" i="14"/>
  <c r="B52" i="14" s="1"/>
  <c r="S52" i="14" s="1"/>
  <c r="B116" i="14" s="1"/>
  <c r="U84" i="15" s="1"/>
  <c r="M116" i="15"/>
  <c r="M117" i="15" s="1"/>
  <c r="R48" i="119" s="1"/>
  <c r="E163" i="119" s="1"/>
  <c r="L107" i="119"/>
  <c r="D107" i="119" s="1"/>
  <c r="C95" i="119"/>
  <c r="D95" i="119" s="1"/>
  <c r="D115" i="119" s="1"/>
  <c r="B166" i="14"/>
  <c r="U107" i="15" s="1"/>
  <c r="D125" i="119" l="1"/>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105" i="15"/>
  <c r="J87" i="15"/>
  <c r="J98" i="15"/>
  <c r="N115" i="15"/>
  <c r="B121" i="15" s="1"/>
  <c r="J68" i="15"/>
  <c r="J73" i="15"/>
  <c r="J93" i="15"/>
  <c r="J85" i="15"/>
  <c r="J91" i="15"/>
  <c r="J86" i="15"/>
  <c r="J81" i="15"/>
  <c r="J106" i="15"/>
  <c r="J76" i="15"/>
  <c r="N114" i="15"/>
  <c r="J78" i="15"/>
  <c r="N116" i="15"/>
  <c r="N117" i="15" s="1"/>
  <c r="S48" i="119" s="1"/>
  <c r="E164" i="119" s="1"/>
  <c r="P52" i="14"/>
  <c r="B113" i="14" s="1"/>
  <c r="U81" i="15" s="1"/>
  <c r="I52" i="14"/>
  <c r="B106" i="14" s="1"/>
  <c r="U74" i="15" s="1"/>
  <c r="W52" i="14"/>
  <c r="B120" i="14" s="1"/>
  <c r="U88" i="15" s="1"/>
  <c r="M52" i="14"/>
  <c r="B110" i="14" s="1"/>
  <c r="U78" i="15" s="1"/>
  <c r="T52" i="14"/>
  <c r="B117" i="14" s="1"/>
  <c r="U85" i="15" s="1"/>
  <c r="K52" i="14"/>
  <c r="B108" i="14" s="1"/>
  <c r="U76" i="15" s="1"/>
  <c r="J52" i="14"/>
  <c r="B107" i="14" s="1"/>
  <c r="U75" i="15" s="1"/>
  <c r="V52" i="14"/>
  <c r="B119" i="14" s="1"/>
  <c r="U87" i="15" s="1"/>
  <c r="H52" i="14"/>
  <c r="B105" i="14" s="1"/>
  <c r="U73" i="15" s="1"/>
  <c r="Q52" i="14"/>
  <c r="B114" i="14" s="1"/>
  <c r="U82" i="15" s="1"/>
  <c r="E52" i="14"/>
  <c r="B102" i="14" s="1"/>
  <c r="U70" i="15" s="1"/>
  <c r="C52" i="14"/>
  <c r="B100" i="14" s="1"/>
  <c r="N52" i="14"/>
  <c r="B111" i="14" s="1"/>
  <c r="U79" i="15" s="1"/>
  <c r="R52" i="14"/>
  <c r="B115" i="14" s="1"/>
  <c r="U83" i="15" s="1"/>
  <c r="D52" i="14"/>
  <c r="B101" i="14" s="1"/>
  <c r="U69" i="15" s="1"/>
  <c r="G52" i="14"/>
  <c r="B104" i="14" s="1"/>
  <c r="U72" i="15" s="1"/>
  <c r="U52" i="14"/>
  <c r="B118" i="14" s="1"/>
  <c r="U86" i="15" s="1"/>
  <c r="F52" i="14"/>
  <c r="B103" i="14" s="1"/>
  <c r="U71" i="15" s="1"/>
  <c r="O52" i="14"/>
  <c r="B112" i="14" s="1"/>
  <c r="U80" i="15" s="1"/>
  <c r="L52" i="14"/>
  <c r="B109" i="14" s="1"/>
  <c r="U77" i="15" s="1"/>
  <c r="N48" i="119"/>
  <c r="E159" i="119" s="1"/>
  <c r="C211" i="119" l="1"/>
  <c r="D211" i="119" s="1"/>
  <c r="E210" i="119"/>
  <c r="J107" i="15"/>
  <c r="J114" i="15" s="1"/>
  <c r="X52" i="14"/>
  <c r="U68" i="15"/>
  <c r="B141" i="14"/>
  <c r="B212" i="119" l="1"/>
  <c r="F210" i="119"/>
  <c r="G210" i="119" s="1"/>
  <c r="J116" i="15"/>
  <c r="J117" i="15" s="1"/>
  <c r="J115" i="15"/>
  <c r="U114" i="15"/>
  <c r="U116" i="15"/>
  <c r="Y55" i="15" s="1"/>
  <c r="Y57" i="15" s="1"/>
  <c r="U115" i="15"/>
  <c r="C212" i="119" l="1"/>
  <c r="D212" i="119" s="1"/>
  <c r="E211" i="119"/>
  <c r="X55" i="15"/>
  <c r="X57" i="15" s="1"/>
  <c r="P48" i="119"/>
  <c r="E161" i="119" s="1"/>
  <c r="B213" i="119" l="1"/>
  <c r="F211" i="119"/>
  <c r="G211" i="119" s="1"/>
  <c r="C213" i="119" l="1"/>
  <c r="D213" i="119" s="1"/>
  <c r="E212" i="119"/>
  <c r="B214" i="119" l="1"/>
  <c r="F212" i="119"/>
  <c r="G212" i="119" s="1"/>
  <c r="C214" i="119" l="1"/>
  <c r="D214" i="119" s="1"/>
  <c r="E213" i="119"/>
  <c r="B215" i="119" l="1"/>
  <c r="F213" i="119"/>
  <c r="G213" i="119" s="1"/>
  <c r="C215" i="119" l="1"/>
  <c r="D215" i="119" s="1"/>
  <c r="E214" i="119"/>
  <c r="B216" i="119" l="1"/>
  <c r="F214" i="119"/>
  <c r="G214" i="119" s="1"/>
  <c r="C216" i="119" l="1"/>
  <c r="D216" i="119" s="1"/>
  <c r="E215" i="119"/>
  <c r="B217" i="119" l="1"/>
  <c r="F215" i="119"/>
  <c r="G215" i="119" s="1"/>
  <c r="C217" i="119" l="1"/>
  <c r="D217" i="119" s="1"/>
  <c r="E216" i="119"/>
  <c r="B218" i="119" l="1"/>
  <c r="F216" i="119"/>
  <c r="G216" i="119" s="1"/>
  <c r="C218" i="119" l="1"/>
  <c r="D218" i="119" s="1"/>
  <c r="E217" i="119"/>
  <c r="B219" i="119" l="1"/>
  <c r="F217" i="119"/>
  <c r="G217" i="119" s="1"/>
  <c r="C219" i="119" l="1"/>
  <c r="D219" i="119" s="1"/>
  <c r="E218" i="119"/>
  <c r="B220" i="119" l="1"/>
  <c r="F218" i="119"/>
  <c r="G218" i="119" s="1"/>
  <c r="C220" i="119" l="1"/>
  <c r="D220" i="119" s="1"/>
  <c r="E219" i="119"/>
  <c r="B221" i="119" l="1"/>
  <c r="F219" i="119"/>
  <c r="G219" i="119" s="1"/>
  <c r="C221" i="119" l="1"/>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F14" i="13" l="1"/>
  <c r="Z65" i="15" l="1"/>
  <c r="F15" i="13" l="1"/>
  <c r="F16" i="13"/>
  <c r="F17" i="13"/>
  <c r="F18" i="13"/>
  <c r="F19" i="13"/>
  <c r="Z70" i="15" s="1"/>
  <c r="F20" i="13"/>
  <c r="Z71" i="15" s="1"/>
  <c r="F21" i="13"/>
  <c r="Z72" i="15" s="1"/>
  <c r="F22" i="13"/>
  <c r="Z73" i="15" s="1"/>
  <c r="F23" i="13"/>
  <c r="F24" i="13"/>
  <c r="F25" i="13"/>
  <c r="F26" i="13"/>
  <c r="F27" i="13"/>
  <c r="Z78" i="15" s="1"/>
  <c r="F28" i="13"/>
  <c r="Z79" i="15" s="1"/>
  <c r="F29" i="13"/>
  <c r="Z80" i="15" s="1"/>
  <c r="F30" i="13"/>
  <c r="Z81" i="15" s="1"/>
  <c r="F31" i="13"/>
  <c r="F32" i="13"/>
  <c r="F33" i="13"/>
  <c r="F34" i="13"/>
  <c r="F35" i="13"/>
  <c r="F36" i="13"/>
  <c r="F37" i="13"/>
  <c r="Z88" i="15" s="1"/>
  <c r="F38" i="13"/>
  <c r="Z89" i="15" s="1"/>
  <c r="F39" i="13"/>
  <c r="F40" i="13"/>
  <c r="F41" i="13"/>
  <c r="F42" i="13"/>
  <c r="F43" i="13"/>
  <c r="F44" i="13"/>
  <c r="F45" i="13"/>
  <c r="Z96" i="15" s="1"/>
  <c r="F46" i="13"/>
  <c r="Z97" i="15" s="1"/>
  <c r="F47" i="13"/>
  <c r="F48" i="13"/>
  <c r="Z99" i="15" s="1"/>
  <c r="F49" i="13"/>
  <c r="F50" i="13"/>
  <c r="Z101" i="15" s="1"/>
  <c r="F51" i="13"/>
  <c r="Z102" i="15" s="1"/>
  <c r="F52" i="13"/>
  <c r="Z103" i="15" s="1"/>
  <c r="Z66" i="15"/>
  <c r="Z67" i="15"/>
  <c r="Z68" i="15"/>
  <c r="Z69" i="15"/>
  <c r="Z74" i="15"/>
  <c r="Z75" i="15"/>
  <c r="Z76" i="15"/>
  <c r="Z77" i="15"/>
  <c r="Z82" i="15"/>
  <c r="Z83" i="15"/>
  <c r="Z84" i="15"/>
  <c r="Z85" i="15"/>
  <c r="Z86" i="15"/>
  <c r="Z87" i="15"/>
  <c r="Z90" i="15"/>
  <c r="Z91" i="15"/>
  <c r="Z92" i="15"/>
  <c r="Z93" i="15"/>
  <c r="Z94" i="15"/>
  <c r="Z95" i="15"/>
  <c r="Z98" i="15"/>
  <c r="Z100" i="15"/>
  <c r="F53" i="13"/>
  <c r="Z104" i="15" s="1"/>
  <c r="E14" i="13" l="1"/>
  <c r="D14" i="13" s="1"/>
  <c r="G14" i="13"/>
  <c r="C15" i="13" s="1"/>
  <c r="E15" i="13" l="1"/>
  <c r="D15" i="13" s="1"/>
  <c r="G15" i="13"/>
  <c r="C16" i="13" s="1"/>
  <c r="S65" i="15"/>
  <c r="S66" i="15" l="1"/>
  <c r="T66" i="15" s="1"/>
  <c r="E16" i="13"/>
  <c r="D16" i="13" s="1"/>
  <c r="G16" i="13"/>
  <c r="C17" i="13" s="1"/>
  <c r="T65" i="15"/>
  <c r="V66" i="15" l="1"/>
  <c r="X66" i="15" s="1"/>
  <c r="Y66" i="15" s="1"/>
  <c r="AC66" i="15"/>
  <c r="G17" i="13"/>
  <c r="C18" i="13" s="1"/>
  <c r="E17" i="13"/>
  <c r="D17" i="13" s="1"/>
  <c r="S67" i="15"/>
  <c r="T67" i="15" s="1"/>
  <c r="V65" i="15"/>
  <c r="AC65" i="15"/>
  <c r="S68" i="15" l="1"/>
  <c r="G18" i="13"/>
  <c r="C19" i="13" s="1"/>
  <c r="E18" i="13"/>
  <c r="D18" i="13" s="1"/>
  <c r="X65" i="15"/>
  <c r="AA66" i="15"/>
  <c r="AC67" i="15"/>
  <c r="V67" i="15"/>
  <c r="X67" i="15" s="1"/>
  <c r="Y67" i="15" s="1"/>
  <c r="AA67" i="15" l="1"/>
  <c r="AA65" i="15"/>
  <c r="Y65" i="15"/>
  <c r="S69" i="15"/>
  <c r="E19" i="13"/>
  <c r="D19" i="13" s="1"/>
  <c r="G19" i="13"/>
  <c r="C20" i="13" s="1"/>
  <c r="AB65" i="15" l="1"/>
  <c r="E20" i="13"/>
  <c r="D20" i="13" s="1"/>
  <c r="G20" i="13"/>
  <c r="C21" i="13" s="1"/>
  <c r="S70" i="15"/>
  <c r="AB66" i="15" l="1"/>
  <c r="AB67" i="15" s="1"/>
  <c r="G21" i="13"/>
  <c r="C22" i="13" s="1"/>
  <c r="E21" i="13"/>
  <c r="D21" i="13" s="1"/>
  <c r="S71" i="15"/>
  <c r="S72" i="15" l="1"/>
  <c r="G22" i="13"/>
  <c r="C23" i="13" s="1"/>
  <c r="E22" i="13"/>
  <c r="D22" i="13" s="1"/>
  <c r="S73" i="15" l="1"/>
  <c r="E23" i="13"/>
  <c r="D23" i="13" s="1"/>
  <c r="G23" i="13"/>
  <c r="C24" i="13" s="1"/>
  <c r="S74" i="15" l="1"/>
  <c r="G24" i="13"/>
  <c r="C25" i="13" s="1"/>
  <c r="E24" i="13"/>
  <c r="D24" i="13" s="1"/>
  <c r="S75" i="15" l="1"/>
  <c r="E25" i="13"/>
  <c r="D25" i="13" s="1"/>
  <c r="G25" i="13"/>
  <c r="C26" i="13" s="1"/>
  <c r="S76" i="15" l="1"/>
  <c r="E26" i="13"/>
  <c r="D26" i="13" s="1"/>
  <c r="G26" i="13"/>
  <c r="C27" i="13" s="1"/>
  <c r="E27" i="13" l="1"/>
  <c r="D27" i="13" s="1"/>
  <c r="G27" i="13"/>
  <c r="C28" i="13" s="1"/>
  <c r="S77" i="15"/>
  <c r="S78" i="15" l="1"/>
  <c r="E28" i="13"/>
  <c r="D28" i="13" s="1"/>
  <c r="G28" i="13"/>
  <c r="C29" i="13" s="1"/>
  <c r="E29" i="13" l="1"/>
  <c r="D29" i="13" s="1"/>
  <c r="G29" i="13"/>
  <c r="C30" i="13" s="1"/>
  <c r="S79" i="15"/>
  <c r="S80" i="15" l="1"/>
  <c r="G30" i="13"/>
  <c r="C31" i="13" s="1"/>
  <c r="E30" i="13"/>
  <c r="D30" i="13" s="1"/>
  <c r="S81" i="15" l="1"/>
  <c r="E31" i="13"/>
  <c r="D31" i="13" s="1"/>
  <c r="G31" i="13"/>
  <c r="C32" i="13" s="1"/>
  <c r="E32" i="13" l="1"/>
  <c r="D32" i="13" s="1"/>
  <c r="G32" i="13"/>
  <c r="C33" i="13" s="1"/>
  <c r="S82" i="15"/>
  <c r="G33" i="13" l="1"/>
  <c r="C34" i="13" s="1"/>
  <c r="E33" i="13"/>
  <c r="D33" i="13" s="1"/>
  <c r="S83" i="15"/>
  <c r="G34" i="13" l="1"/>
  <c r="C35" i="13" s="1"/>
  <c r="E34" i="13"/>
  <c r="D34" i="13" s="1"/>
  <c r="S84" i="15"/>
  <c r="S85" i="15" l="1"/>
  <c r="E35" i="13"/>
  <c r="D35" i="13" s="1"/>
  <c r="G35" i="13"/>
  <c r="C36" i="13" s="1"/>
  <c r="E36" i="13" l="1"/>
  <c r="D36" i="13" s="1"/>
  <c r="G36" i="13"/>
  <c r="C37" i="13" s="1"/>
  <c r="S86" i="15"/>
  <c r="E37" i="13" l="1"/>
  <c r="D37" i="13" s="1"/>
  <c r="G37" i="13"/>
  <c r="C38" i="13" s="1"/>
  <c r="S87" i="15"/>
  <c r="S88" i="15" l="1"/>
  <c r="E38" i="13"/>
  <c r="D38" i="13" s="1"/>
  <c r="G38" i="13"/>
  <c r="C39" i="13" s="1"/>
  <c r="E39" i="13" l="1"/>
  <c r="D39" i="13" s="1"/>
  <c r="G39" i="13"/>
  <c r="C40" i="13" s="1"/>
  <c r="S89" i="15"/>
  <c r="E40" i="13" l="1"/>
  <c r="D40" i="13" s="1"/>
  <c r="G40" i="13"/>
  <c r="C41" i="13" s="1"/>
  <c r="S90" i="15"/>
  <c r="G41" i="13" l="1"/>
  <c r="C42" i="13" s="1"/>
  <c r="E41" i="13"/>
  <c r="D41" i="13" s="1"/>
  <c r="S91" i="15"/>
  <c r="E42" i="13" l="1"/>
  <c r="D42" i="13" s="1"/>
  <c r="G42" i="13"/>
  <c r="C43" i="13" s="1"/>
  <c r="S92" i="15"/>
  <c r="G43" i="13" l="1"/>
  <c r="C44" i="13" s="1"/>
  <c r="E43" i="13"/>
  <c r="D43" i="13" s="1"/>
  <c r="S93" i="15"/>
  <c r="E44" i="13" l="1"/>
  <c r="D44" i="13" s="1"/>
  <c r="G44" i="13"/>
  <c r="C45" i="13" s="1"/>
  <c r="S94" i="15"/>
  <c r="E45" i="13" l="1"/>
  <c r="D45" i="13" s="1"/>
  <c r="G45" i="13"/>
  <c r="C46" i="13" s="1"/>
  <c r="S95" i="15"/>
  <c r="S96" i="15" l="1"/>
  <c r="E46" i="13"/>
  <c r="D46" i="13" s="1"/>
  <c r="G46" i="13"/>
  <c r="C47" i="13" s="1"/>
  <c r="E47" i="13" l="1"/>
  <c r="D47" i="13" s="1"/>
  <c r="G47" i="13"/>
  <c r="C48" i="13" s="1"/>
  <c r="S97" i="15"/>
  <c r="E48" i="13" l="1"/>
  <c r="D48" i="13" s="1"/>
  <c r="G48" i="13"/>
  <c r="C49" i="13" s="1"/>
  <c r="S98" i="15"/>
  <c r="E49" i="13" l="1"/>
  <c r="D49" i="13" s="1"/>
  <c r="G49" i="13"/>
  <c r="C50" i="13" s="1"/>
  <c r="S99" i="15"/>
  <c r="G50" i="13" l="1"/>
  <c r="C51" i="13" s="1"/>
  <c r="E50" i="13"/>
  <c r="D50" i="13" s="1"/>
  <c r="S100" i="15"/>
  <c r="S101" i="15" l="1"/>
  <c r="G51" i="13"/>
  <c r="C52" i="13" s="1"/>
  <c r="E51" i="13"/>
  <c r="D51" i="13" s="1"/>
  <c r="E52" i="13" l="1"/>
  <c r="D52" i="13" s="1"/>
  <c r="G52" i="13"/>
  <c r="C53" i="13" s="1"/>
  <c r="S102" i="15"/>
  <c r="S103" i="15" l="1"/>
  <c r="E53" i="13"/>
  <c r="D53" i="13" s="1"/>
  <c r="G53" i="13"/>
  <c r="C54" i="13" s="1"/>
  <c r="E54" i="13" l="1"/>
  <c r="D54" i="13" s="1"/>
  <c r="G54" i="13"/>
  <c r="C55" i="13" s="1"/>
  <c r="S104" i="15"/>
  <c r="S105" i="15" l="1"/>
  <c r="E55" i="13"/>
  <c r="D55" i="13" s="1"/>
  <c r="G55" i="13"/>
  <c r="C56" i="13" s="1"/>
  <c r="S106" i="15" l="1"/>
  <c r="E56" i="13"/>
  <c r="F56" i="13"/>
  <c r="Z107" i="15" s="1"/>
  <c r="D56" i="13" l="1"/>
  <c r="G56" i="13"/>
  <c r="Z115" i="15"/>
  <c r="Z114" i="15"/>
  <c r="Z116" i="15"/>
  <c r="S107" i="15"/>
  <c r="S115" i="15" l="1"/>
  <c r="B119" i="15" s="1"/>
  <c r="S114" i="15"/>
  <c r="S116" i="15"/>
  <c r="Z55" i="15"/>
  <c r="Z57" i="15" s="1"/>
  <c r="Z117" i="15"/>
  <c r="Y48" i="119" s="1"/>
  <c r="E170" i="119" s="1"/>
  <c r="S117" i="15" l="1"/>
  <c r="AA55" i="15"/>
  <c r="AA57" i="15" s="1"/>
  <c r="E17" i="15" s="1"/>
  <c r="C121" i="15"/>
  <c r="D21" i="34" s="1"/>
  <c r="C124" i="15"/>
  <c r="D24" i="34" s="1"/>
  <c r="C119" i="15"/>
  <c r="D19" i="34" s="1"/>
  <c r="C122" i="15"/>
  <c r="D22" i="34" s="1"/>
  <c r="C123" i="15"/>
  <c r="D23" i="34" s="1"/>
  <c r="C125" i="15"/>
  <c r="D25" i="34" s="1"/>
  <c r="C120" i="15"/>
  <c r="D20" i="34" s="1"/>
  <c r="X60" i="15" l="1"/>
  <c r="F98" i="15"/>
  <c r="T98" i="15" s="1"/>
  <c r="F93" i="15"/>
  <c r="T93" i="15" s="1"/>
  <c r="F88" i="15"/>
  <c r="T88" i="15" s="1"/>
  <c r="F99" i="15"/>
  <c r="T99" i="15" s="1"/>
  <c r="F71" i="15"/>
  <c r="T71" i="15" s="1"/>
  <c r="F75" i="15"/>
  <c r="T75" i="15" s="1"/>
  <c r="E16" i="15"/>
  <c r="F104" i="15"/>
  <c r="T104" i="15" s="1"/>
  <c r="F87" i="15"/>
  <c r="T87" i="15" s="1"/>
  <c r="F91" i="15"/>
  <c r="T91" i="15" s="1"/>
  <c r="F70" i="15"/>
  <c r="T70" i="15" s="1"/>
  <c r="F81" i="15"/>
  <c r="T81" i="15" s="1"/>
  <c r="F92" i="15"/>
  <c r="T92" i="15" s="1"/>
  <c r="F103" i="15"/>
  <c r="T103" i="15" s="1"/>
  <c r="F72" i="15"/>
  <c r="T72" i="15" s="1"/>
  <c r="F107" i="15"/>
  <c r="T107" i="15" s="1"/>
  <c r="F86" i="15"/>
  <c r="T86" i="15" s="1"/>
  <c r="F97" i="15"/>
  <c r="T97" i="15" s="1"/>
  <c r="F69" i="15"/>
  <c r="T69" i="15" s="1"/>
  <c r="F80" i="15"/>
  <c r="T80" i="15" s="1"/>
  <c r="F94" i="15"/>
  <c r="T94" i="15" s="1"/>
  <c r="F68" i="15"/>
  <c r="F102" i="15"/>
  <c r="T102" i="15" s="1"/>
  <c r="F74" i="15"/>
  <c r="T74" i="15" s="1"/>
  <c r="F85" i="15"/>
  <c r="T85" i="15" s="1"/>
  <c r="F96" i="15"/>
  <c r="T96" i="15" s="1"/>
  <c r="F83" i="15"/>
  <c r="T83" i="15" s="1"/>
  <c r="F76" i="15"/>
  <c r="T76" i="15" s="1"/>
  <c r="F84" i="15"/>
  <c r="T84" i="15" s="1"/>
  <c r="F79" i="15"/>
  <c r="T79" i="15" s="1"/>
  <c r="F90" i="15"/>
  <c r="T90" i="15" s="1"/>
  <c r="F101" i="15"/>
  <c r="T101" i="15" s="1"/>
  <c r="F73" i="15"/>
  <c r="T73" i="15" s="1"/>
  <c r="F82" i="15"/>
  <c r="T82" i="15" s="1"/>
  <c r="F105" i="15"/>
  <c r="T105" i="15" s="1"/>
  <c r="F100" i="15"/>
  <c r="T100" i="15" s="1"/>
  <c r="F95" i="15"/>
  <c r="T95" i="15" s="1"/>
  <c r="F106" i="15"/>
  <c r="T106" i="15" s="1"/>
  <c r="F78" i="15"/>
  <c r="T78" i="15" s="1"/>
  <c r="F89" i="15"/>
  <c r="T89" i="15" s="1"/>
  <c r="F77" i="15"/>
  <c r="T77" i="15" s="1"/>
  <c r="W48" i="119"/>
  <c r="E168" i="119" s="1"/>
  <c r="AC89" i="15" l="1"/>
  <c r="V89" i="15"/>
  <c r="X89" i="15" s="1"/>
  <c r="AA89" i="15" s="1"/>
  <c r="AC101" i="15"/>
  <c r="V101" i="15"/>
  <c r="X101" i="15" s="1"/>
  <c r="Y101" i="15" s="1"/>
  <c r="V74" i="15"/>
  <c r="X74" i="15" s="1"/>
  <c r="Y74" i="15" s="1"/>
  <c r="AC74" i="15"/>
  <c r="V107" i="15"/>
  <c r="X107" i="15" s="1"/>
  <c r="Y107" i="15" s="1"/>
  <c r="AC107" i="15"/>
  <c r="V104" i="15"/>
  <c r="X104" i="15" s="1"/>
  <c r="Y104" i="15" s="1"/>
  <c r="AC104" i="15"/>
  <c r="V78" i="15"/>
  <c r="X78" i="15" s="1"/>
  <c r="AA78" i="15" s="1"/>
  <c r="AC78" i="15"/>
  <c r="V90" i="15"/>
  <c r="X90" i="15" s="1"/>
  <c r="Y90" i="15" s="1"/>
  <c r="AC90" i="15"/>
  <c r="V102" i="15"/>
  <c r="X102" i="15" s="1"/>
  <c r="Y102" i="15" s="1"/>
  <c r="AC102" i="15"/>
  <c r="V72" i="15"/>
  <c r="X72" i="15" s="1"/>
  <c r="AA72" i="15" s="1"/>
  <c r="AC72" i="15"/>
  <c r="D122" i="15"/>
  <c r="C22" i="34" s="1"/>
  <c r="D125" i="15"/>
  <c r="C25" i="34" s="1"/>
  <c r="D123" i="15"/>
  <c r="C23" i="34" s="1"/>
  <c r="D120" i="15"/>
  <c r="C20" i="34" s="1"/>
  <c r="D121" i="15"/>
  <c r="C21" i="34" s="1"/>
  <c r="D124" i="15"/>
  <c r="C24" i="34" s="1"/>
  <c r="D119" i="15"/>
  <c r="C19" i="34" s="1"/>
  <c r="V79" i="15"/>
  <c r="X79" i="15" s="1"/>
  <c r="AA79" i="15" s="1"/>
  <c r="AC79" i="15"/>
  <c r="F115" i="15"/>
  <c r="T68" i="15"/>
  <c r="F116" i="15"/>
  <c r="F118" i="15" s="1"/>
  <c r="F114" i="15"/>
  <c r="V103" i="15"/>
  <c r="X103" i="15" s="1"/>
  <c r="Y103" i="15" s="1"/>
  <c r="AC103" i="15"/>
  <c r="V75" i="15"/>
  <c r="X75" i="15" s="1"/>
  <c r="AA75" i="15" s="1"/>
  <c r="AC75" i="15"/>
  <c r="AC95" i="15"/>
  <c r="V95" i="15"/>
  <c r="X95" i="15" s="1"/>
  <c r="Y95" i="15" s="1"/>
  <c r="V84" i="15"/>
  <c r="X84" i="15" s="1"/>
  <c r="Y84" i="15" s="1"/>
  <c r="AC84" i="15"/>
  <c r="V94" i="15"/>
  <c r="X94" i="15" s="1"/>
  <c r="AA94" i="15" s="1"/>
  <c r="AC94" i="15"/>
  <c r="AC92" i="15"/>
  <c r="V92" i="15"/>
  <c r="X92" i="15" s="1"/>
  <c r="AA92" i="15" s="1"/>
  <c r="V71" i="15"/>
  <c r="X71" i="15" s="1"/>
  <c r="Y71" i="15" s="1"/>
  <c r="AC71" i="15"/>
  <c r="AC106" i="15"/>
  <c r="V106" i="15"/>
  <c r="X106" i="15" s="1"/>
  <c r="Y106" i="15" s="1"/>
  <c r="AC100" i="15"/>
  <c r="V100" i="15"/>
  <c r="X100" i="15" s="1"/>
  <c r="Y100" i="15" s="1"/>
  <c r="V76" i="15"/>
  <c r="X76" i="15" s="1"/>
  <c r="AA76" i="15" s="1"/>
  <c r="AC76" i="15"/>
  <c r="V80" i="15"/>
  <c r="X80" i="15" s="1"/>
  <c r="Y80" i="15" s="1"/>
  <c r="AC80" i="15"/>
  <c r="V81" i="15"/>
  <c r="X81" i="15" s="1"/>
  <c r="AA81" i="15" s="1"/>
  <c r="AC81" i="15"/>
  <c r="AC99" i="15"/>
  <c r="V99" i="15"/>
  <c r="X99" i="15" s="1"/>
  <c r="AA99" i="15" s="1"/>
  <c r="V105" i="15"/>
  <c r="X105" i="15" s="1"/>
  <c r="AA105" i="15" s="1"/>
  <c r="AC105" i="15"/>
  <c r="V83" i="15"/>
  <c r="X83" i="15" s="1"/>
  <c r="AA83" i="15" s="1"/>
  <c r="AC83" i="15"/>
  <c r="V69" i="15"/>
  <c r="X69" i="15" s="1"/>
  <c r="Y69" i="15" s="1"/>
  <c r="AC69" i="15"/>
  <c r="V70" i="15"/>
  <c r="X70" i="15" s="1"/>
  <c r="Y70" i="15" s="1"/>
  <c r="AC70" i="15"/>
  <c r="V88" i="15"/>
  <c r="X88" i="15" s="1"/>
  <c r="AA88" i="15" s="1"/>
  <c r="AC88" i="15"/>
  <c r="V82" i="15"/>
  <c r="X82" i="15" s="1"/>
  <c r="AA82" i="15" s="1"/>
  <c r="AC82" i="15"/>
  <c r="V96" i="15"/>
  <c r="X96" i="15" s="1"/>
  <c r="AA96" i="15" s="1"/>
  <c r="AC96" i="15"/>
  <c r="AC97" i="15"/>
  <c r="V97" i="15"/>
  <c r="X97" i="15" s="1"/>
  <c r="AA97" i="15" s="1"/>
  <c r="AC91" i="15"/>
  <c r="V91" i="15"/>
  <c r="X91" i="15" s="1"/>
  <c r="AA91" i="15" s="1"/>
  <c r="V93" i="15"/>
  <c r="X93" i="15" s="1"/>
  <c r="AA93" i="15" s="1"/>
  <c r="AC93" i="15"/>
  <c r="V77" i="15"/>
  <c r="X77" i="15" s="1"/>
  <c r="AA77" i="15" s="1"/>
  <c r="AC77" i="15"/>
  <c r="AC73" i="15"/>
  <c r="V73" i="15"/>
  <c r="X73" i="15" s="1"/>
  <c r="AA73" i="15" s="1"/>
  <c r="V85" i="15"/>
  <c r="X85" i="15" s="1"/>
  <c r="AA85" i="15" s="1"/>
  <c r="AC85" i="15"/>
  <c r="V86" i="15"/>
  <c r="X86" i="15" s="1"/>
  <c r="Y86" i="15" s="1"/>
  <c r="AC86" i="15"/>
  <c r="V87" i="15"/>
  <c r="X87" i="15" s="1"/>
  <c r="Y87" i="15" s="1"/>
  <c r="AC87" i="15"/>
  <c r="V98" i="15"/>
  <c r="X98" i="15" s="1"/>
  <c r="Y98" i="15" s="1"/>
  <c r="AC98" i="15"/>
  <c r="AA104" i="15" l="1"/>
  <c r="AA95" i="15"/>
  <c r="Y105" i="15"/>
  <c r="Y82" i="15"/>
  <c r="AA102" i="15"/>
  <c r="Y79" i="15"/>
  <c r="AA90" i="15"/>
  <c r="Y96" i="15"/>
  <c r="AA71" i="15"/>
  <c r="AA84" i="15"/>
  <c r="Y72" i="15"/>
  <c r="AA86" i="15"/>
  <c r="Y99" i="15"/>
  <c r="AA98" i="15"/>
  <c r="Y83" i="15"/>
  <c r="Y81" i="15"/>
  <c r="Y94" i="15"/>
  <c r="K48" i="119"/>
  <c r="E155" i="119" s="1"/>
  <c r="AG118" i="15"/>
  <c r="Y73" i="15"/>
  <c r="Y88" i="15"/>
  <c r="Y76" i="15"/>
  <c r="Y75" i="15"/>
  <c r="V68" i="15"/>
  <c r="AC68" i="15"/>
  <c r="T116" i="15"/>
  <c r="T115" i="15"/>
  <c r="T114" i="15"/>
  <c r="Y91" i="15"/>
  <c r="AA101" i="15"/>
  <c r="AA87" i="15"/>
  <c r="Y77" i="15"/>
  <c r="AA70" i="15"/>
  <c r="AA100" i="15"/>
  <c r="AA103" i="15"/>
  <c r="AA107" i="15"/>
  <c r="Y97" i="15"/>
  <c r="Y92" i="15"/>
  <c r="Y89" i="15"/>
  <c r="Y85" i="15"/>
  <c r="AA80" i="15"/>
  <c r="C26" i="34"/>
  <c r="Y78" i="15"/>
  <c r="Y93" i="15"/>
  <c r="AA69" i="15"/>
  <c r="AA106" i="15"/>
  <c r="AA74" i="15"/>
  <c r="AC116" i="15" l="1"/>
  <c r="E21" i="15"/>
  <c r="E19" i="15" s="1"/>
  <c r="AC115" i="15"/>
  <c r="AC114" i="15"/>
  <c r="X68" i="15"/>
  <c r="V116" i="15"/>
  <c r="V114" i="15"/>
  <c r="V115" i="15"/>
  <c r="F156" i="119"/>
  <c r="F157" i="119"/>
  <c r="F155" i="119"/>
  <c r="X116" i="15" l="1"/>
  <c r="X117" i="15" s="1"/>
  <c r="X115" i="15"/>
  <c r="X114" i="15"/>
  <c r="AA68" i="15"/>
  <c r="Y68" i="15"/>
  <c r="H157" i="119"/>
  <c r="K157" i="119" s="1"/>
  <c r="I156" i="119"/>
  <c r="L156" i="119" s="1"/>
  <c r="I157" i="119"/>
  <c r="L157" i="119" s="1"/>
  <c r="N157" i="119" s="1"/>
  <c r="I155" i="119"/>
  <c r="L155" i="119" s="1"/>
  <c r="H155" i="119"/>
  <c r="K155" i="119" s="1"/>
  <c r="H156" i="119"/>
  <c r="K156" i="119" s="1"/>
  <c r="Y115" i="15" l="1"/>
  <c r="Y116" i="15"/>
  <c r="Y114" i="15"/>
  <c r="N156" i="119"/>
  <c r="AA116" i="15"/>
  <c r="AA114" i="15"/>
  <c r="E26" i="15"/>
  <c r="H17" i="6" s="1"/>
  <c r="E20" i="15"/>
  <c r="E18" i="15" s="1"/>
  <c r="AA115" i="15"/>
  <c r="AB68" i="15"/>
  <c r="L171" i="119"/>
  <c r="N155" i="119"/>
  <c r="X48" i="119"/>
  <c r="E169" i="119" s="1"/>
  <c r="AG117" i="15"/>
  <c r="F169" i="119" l="1"/>
  <c r="F167" i="119"/>
  <c r="F168" i="119"/>
  <c r="F162" i="119"/>
  <c r="F170" i="119"/>
  <c r="F165" i="119"/>
  <c r="F163" i="119"/>
  <c r="F161" i="119"/>
  <c r="F166" i="119"/>
  <c r="F164" i="119"/>
  <c r="F160" i="119"/>
  <c r="F159" i="119"/>
  <c r="AB69" i="15"/>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AB116" i="15" l="1"/>
  <c r="AB114" i="15"/>
  <c r="AB115" i="15"/>
  <c r="H161" i="119"/>
  <c r="K161" i="119" s="1"/>
  <c r="I162" i="119"/>
  <c r="M162" i="119" s="1"/>
  <c r="I167" i="119"/>
  <c r="M167" i="119" s="1"/>
  <c r="I170" i="119"/>
  <c r="M170" i="119" s="1"/>
  <c r="N170" i="119" s="1"/>
  <c r="H164" i="119"/>
  <c r="K164" i="119" s="1"/>
  <c r="I168" i="119"/>
  <c r="M168" i="119" s="1"/>
  <c r="I169" i="119"/>
  <c r="M169" i="119" s="1"/>
  <c r="I165" i="119"/>
  <c r="M165" i="119" s="1"/>
  <c r="I164" i="119"/>
  <c r="M164" i="119" s="1"/>
  <c r="H169" i="119"/>
  <c r="K169" i="119" s="1"/>
  <c r="I166" i="119"/>
  <c r="M166" i="119" s="1"/>
  <c r="I163" i="119"/>
  <c r="M163" i="119" s="1"/>
  <c r="I159" i="119"/>
  <c r="M159" i="119" s="1"/>
  <c r="H163" i="119"/>
  <c r="K163" i="119" s="1"/>
  <c r="H166" i="119"/>
  <c r="K166" i="119" s="1"/>
  <c r="H162" i="119"/>
  <c r="K162" i="119" s="1"/>
  <c r="I160" i="119"/>
  <c r="M160" i="119" s="1"/>
  <c r="H170" i="119"/>
  <c r="K170" i="119" s="1"/>
  <c r="H165" i="119"/>
  <c r="K165" i="119" s="1"/>
  <c r="H160" i="119"/>
  <c r="K160" i="119" s="1"/>
  <c r="H159" i="119"/>
  <c r="K159" i="119" s="1"/>
  <c r="H167" i="119"/>
  <c r="K167" i="119" s="1"/>
  <c r="H168" i="119"/>
  <c r="K168" i="119" s="1"/>
  <c r="I161" i="119"/>
  <c r="M161" i="119" s="1"/>
  <c r="N163" i="119" l="1"/>
  <c r="N166" i="119"/>
  <c r="N162" i="119"/>
  <c r="N160" i="119"/>
  <c r="M171" i="119"/>
  <c r="N171" i="119" s="1"/>
  <c r="N159" i="119"/>
  <c r="N167" i="119"/>
  <c r="N164" i="119"/>
  <c r="N165" i="119"/>
  <c r="N161" i="119"/>
  <c r="N169" i="119"/>
  <c r="N168"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<sst xmlns="http://schemas.openxmlformats.org/spreadsheetml/2006/main" count="3979" uniqueCount="1425">
  <si>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</si>
  <si>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</si>
  <si>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</si>
  <si>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</si>
  <si>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</si>
  <si>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</si>
  <si>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</si>
  <si>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</si>
  <si>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</si>
  <si>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</si>
  <si>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</si>
  <si>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</si>
  <si>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</si>
  <si>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</si>
  <si>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</si>
  <si>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</si>
  <si>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</si>
  <si>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</si>
  <si>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</si>
  <si>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</si>
  <si>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</si>
  <si>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</si>
  <si>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</si>
  <si>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</si>
  <si>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</si>
  <si>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</si>
  <si>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</si>
  <si>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</si>
  <si>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</si>
  <si>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</si>
  <si>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</si>
  <si>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</si>
  <si>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</si>
  <si>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</si>
  <si>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</si>
  <si>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</si>
  <si>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</si>
  <si>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</si>
  <si>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</si>
  <si>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</si>
  <si>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</si>
  <si>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</si>
  <si>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</si>
  <si>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</si>
  <si>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</si>
  <si>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</si>
  <si>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</si>
  <si>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</si>
  <si>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</si>
  <si>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</si>
  <si>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</si>
  <si>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</si>
  <si>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</si>
  <si>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</si>
  <si>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</si>
  <si>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</si>
  <si>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</si>
  <si>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</si>
  <si>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</si>
  <si>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</si>
  <si>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</si>
  <si>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</si>
  <si>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</si>
  <si>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</si>
  <si>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</si>
  <si>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</si>
  <si>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</si>
  <si>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</si>
  <si>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</si>
  <si>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</si>
  <si>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</si>
  <si>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</si>
  <si>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</si>
  <si>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</si>
  <si>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</si>
  <si>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</si>
  <si>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</si>
  <si>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</si>
  <si>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</si>
  <si>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</si>
  <si>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</si>
  <si>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</si>
  <si>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</si>
  <si>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</si>
  <si>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</si>
  <si>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</si>
  <si>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</si>
  <si>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</si>
  <si>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</si>
  <si>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</si>
  <si>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</si>
  <si>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</si>
  <si>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</si>
  <si>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</si>
  <si>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</si>
  <si>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</si>
  <si>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</si>
  <si>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</si>
  <si>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</si>
  <si>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</si>
  <si>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</si>
  <si>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</si>
  <si>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</si>
  <si>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</si>
  <si>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</si>
  <si>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</si>
  <si>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</si>
  <si>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</si>
  <si>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</si>
  <si>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</si>
  <si>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</si>
  <si>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</si>
  <si>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</si>
  <si>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</si>
  <si>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</si>
  <si>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</si>
  <si>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</si>
  <si>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</si>
  <si>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</si>
  <si>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</si>
  <si>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</si>
  <si>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</si>
  <si>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</si>
  <si>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</si>
  <si>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</si>
  <si>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</si>
  <si>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</si>
  <si>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</si>
  <si>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</si>
  <si>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</si>
  <si>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</si>
  <si>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</si>
  <si>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</si>
  <si>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</si>
  <si>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</si>
  <si>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</si>
  <si>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</si>
  <si>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</si>
  <si>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</si>
  <si>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</si>
  <si>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</si>
  <si>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</si>
  <si>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</si>
  <si>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</si>
  <si>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</si>
  <si>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</si>
  <si>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</si>
  <si>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</si>
  <si>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</si>
  <si>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</si>
  <si>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</si>
  <si>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</si>
  <si>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</si>
  <si>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</si>
  <si>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</si>
  <si>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</si>
  <si>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</si>
  <si>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</si>
  <si>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</si>
  <si>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</si>
  <si>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</si>
  <si>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</si>
  <si>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</si>
  <si>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</si>
  <si>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</si>
  <si>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</si>
  <si>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</si>
  <si>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</si>
  <si>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</si>
  <si>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</si>
  <si>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</si>
  <si>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</si>
  <si>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</si>
  <si>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</si>
  <si>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</si>
  <si>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</si>
  <si>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</si>
  <si>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</si>
  <si>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</si>
  <si>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</si>
  <si>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</si>
  <si>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</si>
  <si>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</si>
  <si>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</si>
  <si>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</si>
  <si>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</si>
  <si>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</si>
  <si>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</si>
  <si>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</si>
  <si>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</si>
  <si>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</si>
  <si>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</si>
  <si>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</si>
  <si>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</si>
  <si>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</si>
  <si>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</si>
  <si>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</si>
  <si>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</si>
  <si>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</si>
  <si>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</si>
  <si>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</si>
  <si>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</si>
  <si>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</si>
  <si>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</si>
  <si>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</si>
  <si>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</si>
  <si>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</si>
  <si>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</si>
  <si>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</si>
  <si>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</si>
  <si>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</si>
  <si>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</si>
  <si>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</si>
  <si>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</si>
  <si>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</si>
  <si>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</si>
  <si>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</si>
  <si>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</si>
  <si>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</si>
  <si>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</si>
  <si>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</si>
  <si>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</si>
  <si>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</si>
  <si>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</si>
  <si>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</si>
  <si>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</si>
  <si>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</si>
  <si>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</si>
  <si>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</si>
  <si>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</si>
  <si>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</si>
  <si>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</si>
  <si>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</si>
  <si>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</si>
  <si>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</si>
  <si>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</si>
  <si>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</si>
  <si>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</si>
  <si>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</si>
  <si>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</si>
  <si>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</si>
  <si>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</si>
  <si>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</si>
  <si>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</si>
  <si>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</si>
  <si>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</si>
  <si>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</si>
  <si>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</si>
  <si>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</si>
  <si>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</si>
  <si>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</si>
  <si>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</si>
  <si>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</si>
  <si>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</si>
  <si>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</si>
  <si>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</si>
  <si>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</si>
  <si>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</si>
  <si>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</si>
  <si>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</si>
  <si>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</si>
  <si>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</si>
  <si>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</si>
  <si>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</si>
  <si>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</si>
  <si>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</si>
  <si>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</si>
  <si>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</si>
  <si>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</si>
  <si>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</si>
  <si>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</si>
  <si>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</si>
  <si>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</si>
  <si>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</si>
  <si>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</si>
  <si>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</si>
  <si>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</si>
  <si>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</si>
  <si>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</si>
  <si>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</si>
  <si>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</si>
  <si>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</si>
  <si>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</si>
  <si>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</si>
  <si>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</si>
  <si>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</si>
  <si>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</si>
  <si>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</si>
  <si>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</si>
  <si>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</si>
  <si>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</si>
  <si>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</si>
  <si>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</si>
  <si>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</si>
  <si>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</si>
  <si>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</si>
  <si>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</si>
  <si>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</si>
  <si>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</si>
  <si>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</si>
  <si>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</si>
  <si>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</si>
  <si>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</si>
  <si>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</si>
  <si>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</si>
  <si>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</si>
  <si>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</si>
  <si>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</si>
  <si>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</si>
  <si>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</si>
  <si>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</si>
  <si>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</si>
  <si>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</si>
  <si>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</si>
  <si>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</si>
  <si>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</si>
  <si>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</si>
  <si>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</si>
  <si>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</si>
  <si>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</si>
  <si>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</si>
  <si>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</si>
  <si>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</si>
  <si>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</si>
  <si>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</si>
  <si>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</si>
  <si>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</si>
  <si>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</si>
  <si>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</si>
  <si>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</si>
  <si>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</si>
  <si>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</si>
  <si>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</si>
  <si>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</si>
  <si>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</si>
  <si>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</si>
  <si>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</si>
  <si>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</si>
  <si>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</si>
  <si>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</si>
  <si>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</si>
  <si>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</si>
  <si>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</si>
  <si>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</si>
  <si>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</si>
  <si>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</si>
  <si>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</si>
  <si>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</si>
  <si>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</si>
  <si>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</si>
  <si>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</si>
  <si>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</si>
  <si>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</si>
  <si>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</si>
  <si>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</si>
  <si>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</si>
  <si>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</si>
  <si>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</si>
  <si>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</si>
  <si>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</si>
  <si>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</si>
  <si>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</si>
  <si>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</si>
  <si>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</si>
  <si>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</si>
  <si>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</si>
  <si>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</si>
  <si>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</si>
  <si>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</si>
  <si>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</si>
  <si>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</si>
  <si>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</si>
  <si>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</si>
  <si>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</si>
  <si>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</si>
  <si>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</si>
  <si>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</si>
  <si>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</si>
  <si>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</si>
  <si>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</si>
  <si>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</si>
  <si>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</si>
  <si>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</si>
  <si>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</si>
  <si>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</si>
  <si>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</si>
  <si>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</si>
  <si>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</si>
  <si>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</si>
  <si>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</si>
  <si>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</si>
  <si>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</si>
  <si>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</si>
  <si>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</si>
  <si>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</si>
  <si>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</si>
  <si>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</si>
  <si>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</si>
  <si>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</si>
  <si>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</si>
  <si>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</si>
  <si>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</si>
  <si>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</si>
  <si>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</si>
  <si>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</si>
  <si>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</si>
  <si>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</si>
  <si>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</si>
  <si>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</si>
  <si>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</si>
  <si>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</si>
  <si>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</si>
  <si>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</si>
  <si>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</si>
  <si>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</si>
  <si>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</si>
  <si>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</si>
  <si>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</si>
  <si>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</si>
  <si>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</si>
  <si>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</si>
  <si>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</si>
  <si>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</si>
  <si>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</si>
  <si>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</si>
  <si>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</si>
  <si>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</si>
  <si>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</si>
  <si>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</si>
  <si>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</si>
  <si>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</si>
  <si>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</si>
  <si>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</si>
  <si>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</si>
  <si>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</si>
  <si>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</si>
  <si>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</si>
  <si>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</si>
  <si>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</si>
  <si>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</si>
  <si>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</si>
  <si>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</si>
  <si>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</si>
  <si>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</si>
  <si>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</si>
  <si>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</si>
  <si>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</si>
  <si>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</si>
  <si>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</si>
  <si>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</si>
  <si>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</si>
  <si>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</si>
  <si>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</si>
  <si>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</si>
  <si>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</si>
  <si>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</si>
  <si>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</si>
  <si>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</si>
  <si>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</si>
  <si>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</si>
  <si>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</si>
  <si>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</si>
  <si>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</si>
  <si>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</si>
  <si>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</si>
  <si>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</si>
  <si>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</si>
  <si>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</si>
  <si>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</si>
  <si>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</si>
  <si>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</si>
  <si>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</si>
  <si>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</si>
  <si>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</si>
  <si>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</si>
  <si>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</si>
  <si>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</si>
  <si>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</si>
  <si>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</si>
  <si>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</si>
  <si>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</si>
  <si>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</si>
  <si>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</si>
  <si>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</si>
  <si>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</si>
  <si>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</si>
  <si>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</si>
  <si>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</si>
  <si>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</si>
  <si>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</si>
  <si>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</si>
  <si>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</si>
  <si>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</si>
  <si>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</si>
  <si>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</si>
  <si>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</si>
  <si>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</si>
  <si>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</si>
  <si>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</si>
  <si>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</si>
  <si>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</si>
  <si>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</si>
  <si>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</si>
  <si>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</si>
  <si>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</si>
  <si>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</si>
  <si>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</si>
  <si>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</si>
  <si>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</si>
  <si>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</si>
  <si>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</si>
  <si>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</si>
  <si>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</si>
  <si>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</si>
  <si>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</si>
  <si>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</si>
  <si>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</si>
  <si>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</si>
  <si>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</si>
  <si>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</si>
  <si>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</si>
  <si>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</si>
  <si>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</si>
  <si>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</si>
  <si>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</si>
  <si>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</si>
  <si>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</si>
  <si>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</si>
  <si>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</si>
  <si>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</si>
  <si>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</si>
  <si>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</si>
  <si>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</si>
  <si>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</si>
  <si>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</si>
  <si>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</si>
  <si>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</si>
  <si>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</si>
  <si>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</si>
  <si>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</si>
  <si>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</si>
  <si>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</si>
  <si>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</si>
  <si>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</si>
  <si>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</si>
  <si>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</si>
  <si>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</si>
  <si>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</si>
  <si>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</si>
  <si>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</si>
  <si>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</si>
  <si>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</si>
  <si>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</si>
  <si>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</si>
  <si>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</si>
  <si>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</si>
  <si>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</si>
  <si>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</si>
  <si>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</si>
  <si>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</si>
  <si>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</si>
  <si>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</si>
  <si>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</si>
  <si>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</si>
  <si>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</si>
  <si>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</si>
  <si>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</si>
  <si>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</si>
  <si>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</si>
  <si>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</si>
  <si>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</si>
  <si>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</si>
  <si>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</si>
  <si>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</si>
  <si>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</si>
  <si>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</si>
  <si>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</si>
  <si>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</si>
  <si>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</si>
  <si>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</si>
  <si>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</si>
  <si>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</si>
  <si>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</si>
  <si>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</si>
  <si>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</si>
  <si>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</si>
  <si>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</si>
  <si>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</si>
  <si>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</si>
  <si>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</si>
  <si>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</si>
  <si>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</si>
  <si>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</si>
  <si>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</si>
  <si>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</si>
  <si>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</si>
  <si>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</si>
  <si>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</si>
  <si>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</si>
  <si>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</si>
  <si>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</si>
  <si>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</si>
  <si>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</si>
  <si>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</si>
  <si>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</si>
  <si>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</si>
  <si>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</si>
  <si>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</si>
  <si>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</si>
  <si>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</si>
  <si>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</si>
  <si>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</si>
  <si>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</si>
  <si>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</si>
  <si>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</si>
  <si>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</si>
  <si>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</si>
  <si>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</si>
  <si>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</si>
  <si>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</si>
  <si>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</si>
  <si>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</si>
  <si>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</si>
  <si>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</si>
  <si>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</si>
  <si>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</si>
  <si>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</si>
  <si>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</si>
  <si>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</si>
  <si>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</si>
  <si>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</si>
  <si>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</si>
  <si>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</si>
  <si>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</si>
  <si>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</si>
  <si>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</si>
  <si>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</si>
  <si>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</si>
  <si>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</si>
  <si>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</si>
  <si>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</si>
  <si>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</si>
  <si>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</si>
  <si>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</si>
  <si>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</si>
  <si>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</si>
  <si>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</si>
  <si>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</si>
  <si>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</si>
  <si>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</si>
  <si>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</si>
  <si>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</si>
  <si>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</si>
  <si>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</si>
  <si>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</si>
  <si>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</si>
  <si>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</si>
  <si>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</si>
  <si>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</si>
  <si>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</si>
  <si>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</si>
  <si>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</si>
  <si>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</si>
  <si>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</si>
  <si>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</si>
  <si>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</si>
  <si>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</si>
  <si>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</si>
  <si>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</si>
  <si>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</si>
  <si>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</si>
  <si>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</si>
  <si>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</si>
  <si>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</si>
  <si>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</si>
  <si>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</si>
  <si>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</si>
  <si>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</si>
  <si>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</si>
  <si>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</si>
  <si>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</si>
  <si>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</si>
  <si>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</si>
  <si>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</si>
  <si>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</si>
  <si>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</si>
  <si>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</si>
  <si>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</si>
  <si>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</si>
  <si>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</si>
  <si>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</si>
  <si>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</si>
  <si>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</si>
  <si>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</si>
  <si>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</si>
  <si>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</si>
  <si>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</si>
  <si>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</si>
  <si>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</si>
  <si>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</si>
  <si>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</si>
  <si>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</si>
  <si>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</si>
  <si>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</si>
  <si>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</si>
  <si>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</si>
  <si>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</si>
  <si>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</si>
  <si>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</si>
  <si>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</si>
  <si>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</si>
  <si>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</si>
  <si>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</si>
  <si>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</si>
  <si>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</si>
  <si>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</si>
  <si>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</si>
  <si>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</si>
  <si>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</si>
  <si>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</si>
  <si>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</si>
  <si>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</si>
  <si>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</si>
  <si>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</si>
  <si>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</si>
  <si>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</si>
  <si>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</si>
  <si>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</si>
  <si>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</si>
  <si>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</si>
  <si>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</si>
  <si>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</si>
  <si>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</si>
  <si>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</si>
  <si>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</si>
  <si>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</si>
  <si>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</si>
  <si>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</si>
  <si>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</si>
  <si>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</si>
  <si>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</si>
  <si>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</si>
  <si>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</si>
  <si>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</si>
  <si>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</si>
  <si>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</si>
  <si>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</si>
  <si>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</si>
  <si>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</si>
  <si>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</si>
  <si>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</si>
  <si>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</si>
  <si>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</si>
  <si>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</si>
  <si>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</si>
  <si>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</si>
  <si>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</si>
  <si>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</si>
  <si>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</si>
  <si>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</si>
  <si>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</si>
  <si>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</si>
  <si>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</si>
  <si>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</si>
  <si>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</si>
  <si>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</si>
  <si>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</si>
  <si>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</si>
  <si>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</si>
  <si>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</si>
  <si>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</si>
  <si>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</si>
  <si>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</si>
  <si>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</si>
  <si>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</si>
  <si>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</si>
  <si>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</si>
  <si>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</si>
  <si>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</si>
  <si>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</si>
  <si>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</si>
  <si>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</si>
  <si>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</si>
  <si>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</si>
  <si>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</si>
  <si>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</si>
  <si>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</si>
  <si>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</si>
  <si>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</si>
  <si>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</si>
  <si>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</si>
  <si>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</si>
  <si>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</si>
  <si>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</si>
  <si>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</si>
  <si>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</si>
  <si>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</si>
  <si>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</si>
  <si>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</si>
  <si>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</si>
  <si>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</si>
  <si>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</si>
  <si>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</si>
  <si>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</si>
  <si>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</si>
  <si>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</si>
  <si>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</si>
  <si>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</si>
  <si>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</si>
  <si>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</si>
  <si>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</si>
  <si>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</si>
  <si>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</si>
  <si>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</si>
  <si>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</si>
  <si>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</si>
  <si>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</si>
  <si>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</si>
  <si>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</si>
  <si>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</si>
  <si>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</si>
  <si>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</si>
  <si>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</si>
  <si>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</si>
  <si>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</si>
  <si>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</si>
  <si>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</si>
  <si>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</si>
  <si>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</si>
  <si>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</si>
  <si>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</si>
  <si>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H2A Version 2.1 updates</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</si>
  <si>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</si>
  <si>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</si>
  <si>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</si>
  <si>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</si>
  <si>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</si>
  <si>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</si>
  <si>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</si>
  <si>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</si>
  <si>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</si>
  <si>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</si>
  <si>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</si>
  <si>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</si>
  <si>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</si>
  <si>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</si>
  <si>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</si>
  <si>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</si>
  <si>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</si>
  <si>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</si>
  <si>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</si>
  <si>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</si>
  <si>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</si>
  <si>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</si>
  <si>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</si>
  <si>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</si>
  <si>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</si>
  <si>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</si>
  <si>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</si>
  <si>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</si>
  <si>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</si>
  <si>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</si>
  <si>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</si>
  <si>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</si>
  <si>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</si>
  <si>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</si>
  <si>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</si>
  <si>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</si>
  <si>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</si>
  <si>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</si>
  <si>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</si>
  <si>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</si>
  <si>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</si>
  <si>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</si>
  <si>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</si>
  <si>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</si>
  <si>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</si>
  <si>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</si>
  <si>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</si>
  <si>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</si>
  <si>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</si>
  <si>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</si>
  <si>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</si>
  <si>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</si>
  <si>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</si>
  <si>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</si>
  <si>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</si>
  <si>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</si>
  <si>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</si>
  <si>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</si>
  <si>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</si>
  <si>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</si>
  <si>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</si>
  <si>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</si>
  <si>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</si>
  <si>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</si>
  <si>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</si>
  <si>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</si>
  <si>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</si>
  <si>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</si>
  <si>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</si>
  <si>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</si>
  <si>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</si>
  <si>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</si>
  <si>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</si>
  <si>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</si>
  <si>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</si>
  <si>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</si>
  <si>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</si>
  <si>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</si>
  <si>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</si>
  <si>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</si>
  <si>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</si>
  <si>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</si>
  <si>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</si>
  <si>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</si>
  <si>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</si>
  <si>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</si>
  <si>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</si>
  <si>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</si>
  <si>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</si>
  <si>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</si>
  <si>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</si>
  <si>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</si>
  <si>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</si>
  <si>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</si>
  <si>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</si>
  <si>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</si>
  <si>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</si>
  <si>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</si>
  <si>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</si>
  <si>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</si>
  <si>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</si>
  <si>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</si>
  <si>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</si>
  <si>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</si>
  <si>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</si>
  <si>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</si>
  <si>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</si>
  <si>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</si>
  <si>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</si>
  <si>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</si>
  <si>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</si>
  <si>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</si>
  <si>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</si>
  <si>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</si>
  <si>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</si>
  <si>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</si>
  <si>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</si>
  <si>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</si>
  <si>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</si>
  <si>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</si>
  <si>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</si>
  <si>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</si>
  <si>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</si>
  <si>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</si>
  <si>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</si>
  <si>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</si>
  <si>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</si>
  <si>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</si>
  <si>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</si>
  <si>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</si>
  <si>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</si>
  <si>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</si>
  <si>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</si>
  <si>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</si>
  <si>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</si>
  <si>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</si>
  <si>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</si>
  <si>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</si>
  <si>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</si>
  <si>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</si>
  <si>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</si>
  <si>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</si>
  <si>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</si>
  <si>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</si>
  <si>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</si>
  <si>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</si>
  <si>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</si>
  <si>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</si>
  <si>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</si>
  <si>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</si>
  <si>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</si>
  <si>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</si>
  <si>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</si>
  <si>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</si>
  <si>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</si>
  <si>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</si>
  <si>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</si>
  <si>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</si>
  <si>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</si>
  <si>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</si>
  <si>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</si>
  <si>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</si>
  <si>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</si>
  <si>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</si>
  <si>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</si>
  <si>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</si>
  <si>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</si>
  <si>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</si>
  <si>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</si>
  <si>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</si>
  <si>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</si>
  <si>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</si>
  <si>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</si>
  <si>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</si>
  <si>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</si>
  <si>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</si>
  <si>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</si>
  <si>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</si>
  <si>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</si>
  <si>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</si>
  <si>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</si>
  <si>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</si>
  <si>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</si>
  <si>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</si>
  <si>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</si>
  <si>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</si>
  <si>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</si>
  <si>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</si>
  <si>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</si>
  <si>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</si>
  <si>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</si>
  <si>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</si>
  <si>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</si>
  <si>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</si>
  <si>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</si>
  <si>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</si>
  <si>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</si>
  <si>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</si>
  <si>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</si>
  <si>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</si>
  <si>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</si>
  <si>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</si>
  <si>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</si>
  <si>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</si>
  <si>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</si>
  <si>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</si>
  <si>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</si>
  <si>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</si>
  <si>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</si>
  <si>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</si>
  <si>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</si>
  <si>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</si>
  <si>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</si>
  <si>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</si>
  <si>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</si>
  <si>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</si>
  <si>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</si>
  <si>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</si>
  <si>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</si>
  <si>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</si>
  <si>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</si>
  <si>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</si>
  <si>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</si>
  <si>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</si>
  <si>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</si>
  <si>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</si>
  <si>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</si>
  <si>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</si>
  <si>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</si>
  <si>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</si>
  <si>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</si>
  <si>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</si>
  <si>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</si>
  <si>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</si>
  <si>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</si>
  <si>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</si>
  <si>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</si>
  <si>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</si>
  <si>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</si>
  <si>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</si>
  <si>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</si>
  <si>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</si>
  <si>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</si>
  <si>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</si>
  <si>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</si>
  <si>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</si>
  <si>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</si>
  <si>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</si>
  <si>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</si>
  <si>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</si>
  <si>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</si>
  <si>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</si>
  <si>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</si>
  <si>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</si>
  <si>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</si>
  <si>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</si>
  <si>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</si>
  <si>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</si>
  <si>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</si>
  <si>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</si>
  <si>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</si>
  <si>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</si>
  <si>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</si>
  <si>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</si>
  <si>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</si>
  <si>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</si>
  <si>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</si>
  <si>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</si>
  <si>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</si>
  <si>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</si>
  <si>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</si>
  <si>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</si>
  <si>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</si>
  <si>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</si>
  <si>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</si>
  <si>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</si>
  <si>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</si>
  <si>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</si>
  <si>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</si>
  <si>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</si>
  <si>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</si>
  <si>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</si>
  <si>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</si>
  <si>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</si>
  <si>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</si>
  <si>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</si>
  <si>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</si>
  <si>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</si>
  <si>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</si>
  <si>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</si>
  <si>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</si>
  <si>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</si>
  <si>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</si>
  <si>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</si>
  <si>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</si>
  <si>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</si>
  <si>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</si>
  <si>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</si>
  <si>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</si>
  <si>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</si>
  <si>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</si>
  <si>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</si>
  <si>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</si>
  <si>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</si>
  <si>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</si>
  <si>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</si>
  <si>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</si>
  <si>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</si>
  <si>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</si>
  <si>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</si>
  <si>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</si>
  <si>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</si>
  <si>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</si>
  <si>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</si>
  <si>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</si>
  <si>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</si>
  <si>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</si>
  <si>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</si>
  <si>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</si>
  <si>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</si>
  <si>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</si>
  <si>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</si>
  <si>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</si>
  <si>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</si>
  <si>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</si>
  <si>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</si>
  <si>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</si>
  <si>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</si>
  <si>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</si>
  <si>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</si>
  <si>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</si>
  <si>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</si>
  <si>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</si>
  <si>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</si>
  <si>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</si>
  <si>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</si>
  <si>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</si>
  <si>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</si>
  <si>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</si>
  <si>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</si>
  <si>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</si>
  <si>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</si>
  <si>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</si>
  <si>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</si>
  <si>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</si>
  <si>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</si>
  <si>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</si>
  <si>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</si>
  <si>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</si>
  <si>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</si>
  <si>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</si>
  <si>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</si>
  <si>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</si>
  <si>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</si>
  <si>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</si>
  <si>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</si>
  <si>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</si>
  <si>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</si>
  <si>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</si>
  <si>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</si>
  <si>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</si>
  <si>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</si>
  <si>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</si>
  <si>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</si>
  <si>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</si>
  <si>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</si>
  <si>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</si>
  <si>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</si>
  <si>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</si>
  <si>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</si>
  <si>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</si>
  <si>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</si>
  <si>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</si>
  <si>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</si>
  <si>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</si>
  <si>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</si>
  <si>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</si>
  <si>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</si>
  <si>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</si>
  <si>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</si>
  <si>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</si>
  <si>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</si>
  <si>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</si>
  <si>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</si>
  <si>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</si>
  <si>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</si>
  <si>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</si>
  <si>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</si>
  <si>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</si>
  <si>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</si>
  <si>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</si>
  <si>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</si>
  <si>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</si>
  <si>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</si>
  <si>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</si>
  <si>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</si>
  <si>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</si>
  <si>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</si>
  <si>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</si>
  <si>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</si>
  <si>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</si>
  <si>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</si>
  <si>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</si>
  <si>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</si>
  <si>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</si>
  <si>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</si>
  <si>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</si>
  <si>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</si>
  <si>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</si>
  <si>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</si>
  <si>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</si>
  <si>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</si>
  <si>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</si>
  <si>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</si>
  <si>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</si>
  <si>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</si>
  <si>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</si>
  <si>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</si>
  <si>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</si>
  <si>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</si>
  <si>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</si>
  <si>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</si>
  <si>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</si>
  <si>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</si>
  <si>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</si>
  <si>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</si>
  <si>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</si>
  <si>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</si>
  <si>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</si>
  <si>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</si>
  <si>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</si>
  <si>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</si>
  <si>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</si>
  <si>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</si>
  <si>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</si>
  <si>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</si>
  <si>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</si>
  <si>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</si>
  <si>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</si>
  <si>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</si>
  <si>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</si>
  <si>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</si>
  <si>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</si>
  <si>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</si>
  <si>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</si>
  <si>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</si>
  <si>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</si>
  <si>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</si>
  <si>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</si>
  <si>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</si>
  <si>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</si>
  <si>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</si>
  <si>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</si>
  <si>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</si>
  <si>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</si>
  <si>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</si>
  <si>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</si>
  <si>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</si>
  <si>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</si>
  <si>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</si>
  <si>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</si>
  <si>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</si>
  <si>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</si>
  <si>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</si>
  <si>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</si>
  <si>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</si>
  <si>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</si>
  <si>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H2A Version 3</t>
  </si>
  <si>
    <t>M. Penev</t>
  </si>
  <si>
    <t>Case was ported to H2A version 3</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</si>
  <si>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</si>
  <si>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</si>
  <si>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</si>
  <si>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</si>
  <si>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</si>
  <si>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</si>
  <si>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</si>
  <si>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</si>
  <si>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</si>
  <si>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</si>
  <si>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</si>
  <si>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</si>
  <si>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</si>
  <si>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</si>
  <si>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</si>
  <si>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</si>
  <si>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</si>
  <si>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</si>
  <si>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</si>
  <si>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</si>
  <si>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</si>
  <si>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</si>
  <si>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</si>
  <si>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</si>
  <si>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</si>
  <si>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</si>
  <si>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</si>
  <si>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</si>
  <si>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</si>
  <si>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</si>
  <si>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</si>
  <si>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</si>
  <si>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</si>
  <si>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</si>
  <si>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</si>
  <si>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</si>
  <si>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</si>
  <si>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</si>
  <si>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</si>
  <si>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</si>
  <si>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</si>
  <si>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</si>
  <si>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</si>
  <si>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</si>
  <si>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</si>
  <si>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</si>
  <si>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</si>
  <si>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</si>
  <si>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</si>
  <si>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NREL - updated for release</t>
  </si>
  <si>
    <t>utility</t>
  </si>
  <si>
    <t>Price Conversion Factor (GJ/mmBtu)</t>
  </si>
  <si>
    <t>Price in Startup Year ($2016)/mmBtu</t>
  </si>
  <si>
    <t>Usage (mmBtu/kg H2)</t>
  </si>
  <si>
    <t>Usage (kWh/kg H2)</t>
  </si>
  <si>
    <t>NREL - G. Saur</t>
  </si>
  <si>
    <t>Fixed Feedstock cost to reference AEO 2009 reference case</t>
  </si>
  <si>
    <t>utility Industrial Electricity Usage</t>
  </si>
  <si>
    <t>utilityIndustrial_Electricity_Usage</t>
  </si>
  <si>
    <t>NREL - D. Steward</t>
  </si>
  <si>
    <t>Ported to new model structure</t>
  </si>
  <si>
    <t>H2A version 2</t>
  </si>
  <si>
    <t>Tornado chart</t>
  </si>
  <si>
    <t>H2A version 1</t>
  </si>
  <si>
    <t>Mike Rutkowski</t>
  </si>
  <si>
    <t>MD Rutkowski, Revise Capital and Feedstock $</t>
  </si>
  <si>
    <t>MD Rutkowski</t>
  </si>
  <si>
    <t>NJ Kuehn</t>
  </si>
  <si>
    <t>US DOE/NETL MD Rutkowski</t>
  </si>
  <si>
    <t>None</t>
  </si>
  <si>
    <t>Standard fossil energy sources</t>
  </si>
  <si>
    <t>Steam reformer, quench, shift, PSA</t>
  </si>
  <si>
    <t>Steam export</t>
  </si>
  <si>
    <t>Mid USA</t>
  </si>
  <si>
    <t>Steam reforming of hydrocarbons continues to be the most efficient, economical, and widely used process for production of hydrogen and hydrogen/carbon monoxide mixtures.  The purpose of this analysis is to assess the economic production of hydrogen from the steam reforming of natural gas.</t>
  </si>
  <si>
    <t>Natural gas is fed to the plant from the pipeline at a pressure of 450 psia.  The gas is generally sulfur-free, but odorizers with mercaptans must be cleaned from the gas to prevent contamination of the reformer catalyst.  The desulfurized natural gas feedstock is mixed with process steam to be reacted over a nickel based catalyst contained inside of a system of high alloy steel tubes.  The reforming reaction is strongly endothermic, and the metallurgy of the tubes usually limits the reaction temperature to 1400-1700oF.  The flue gas path of the fired reformer is integrated with additional boiler surfaces to produce about 700,000 lb/hour steam.  Of this, about 450,000 lb/hour is superheated to 450 psia and 750°F, to be added to the incoming natural gas.  Additional steam from the boiler is sent off-site.  After the reformer, the process gas mixture of CO and H2 passes through a heat recovery step and is fed into a water gas shift reactor to produce additional H2.</t>
  </si>
  <si>
    <t>The Pressure Swing Adsorption (PSA) process is used for hydrogen purification, based on the ability to produce high purity hydrogen, low amounts of CO and CO2 and ease of operation.  Shifted gas is fed directly to the PSA unit where hydrogen is purified up to approximately 99.6%. based on the ability to produce high purity hydrogen, low amounts of CO and CO2 and ease of operation.  Shifted gas is fed directly to the PSA unit where hydrogen is purified up to approximately 99.6%.</t>
  </si>
  <si>
    <t>Material and energy balances in ASPEN Plus; Installed equipment costing based on grass roots estimate of commercial offering; O&amp;M collaborated with KIC</t>
  </si>
  <si>
    <t>Corporate ownership, 100% equity</t>
  </si>
  <si>
    <t>Hydrogen from Natural Gas Reforming, November 2003, DOE/FE/NETL</t>
  </si>
  <si>
    <t>Original H2A Case Study - h2a_central_natural_gas_current_final.xls, M. Rutkowski</t>
  </si>
  <si>
    <t xml:space="preserve">  Energy efficiencies for individual process steps (add rows as appropriate)</t>
  </si>
  <si>
    <t>Basis</t>
  </si>
  <si>
    <t>Reference</t>
  </si>
  <si>
    <t>SMR Efficiency</t>
  </si>
  <si>
    <t>LHV efficiency of energy in gasifier product gas coming out of gasifier divided by energy in coal fed to gasifier.</t>
  </si>
  <si>
    <t>Aspen Plus® Model</t>
  </si>
  <si>
    <t>Shift Reactor Conversion</t>
  </si>
  <si>
    <t>Molar percent of CO converted to CO2</t>
  </si>
  <si>
    <t>Haldor Topsoe commercial catalyst spec.</t>
  </si>
  <si>
    <t>PSA Hydrogen Separation</t>
  </si>
  <si>
    <t>Percent hydrogen rercovered from PSA feed gas</t>
  </si>
  <si>
    <t>UOP commercial PSA design spec.</t>
  </si>
  <si>
    <t>STREAM NUMBER</t>
  </si>
  <si>
    <t>Natural Gas</t>
  </si>
  <si>
    <t>Air</t>
  </si>
  <si>
    <t>Stack Gas</t>
  </si>
  <si>
    <t>Mole Fraction</t>
  </si>
  <si>
    <t xml:space="preserve"> </t>
  </si>
  <si>
    <t xml:space="preserve">  Ar                 </t>
  </si>
  <si>
    <t xml:space="preserve">  CH4</t>
  </si>
  <si>
    <t xml:space="preserve">  C2H6</t>
  </si>
  <si>
    <t xml:space="preserve">  CO2</t>
  </si>
  <si>
    <t xml:space="preserve">  H2</t>
  </si>
  <si>
    <t xml:space="preserve">  H2O</t>
  </si>
  <si>
    <t xml:space="preserve">  N2</t>
  </si>
  <si>
    <t xml:space="preserve">  O2</t>
  </si>
  <si>
    <t>NOx</t>
  </si>
  <si>
    <t>----</t>
  </si>
  <si>
    <t>20 ppm</t>
  </si>
  <si>
    <t>Total Flow (lbmol/hr)</t>
  </si>
  <si>
    <t>Total Flow (lb/hr)</t>
  </si>
  <si>
    <t>Temperature (°F)</t>
  </si>
  <si>
    <t>Pressure (psia)</t>
  </si>
  <si>
    <t>Process Plant Equipment</t>
  </si>
  <si>
    <t>Balance of Plant and Offsites</t>
  </si>
  <si>
    <t>SCR NOx Control on Stack</t>
  </si>
  <si>
    <t>Central Natural Gas Reforming without CO2 Capture and Sequestration - Current Timeframe</t>
  </si>
  <si>
    <t>in 2016 $/GJ, LHV</t>
  </si>
  <si>
    <t>NOTE: AEO Prices prior to 2015 were augmented with AEO historical data</t>
  </si>
  <si>
    <t>Enter 0 to enable constant outstanding debt.</t>
  </si>
  <si>
    <t>H2A Hydrogen Production Cash Flow Analysis Tool v3.2018</t>
  </si>
  <si>
    <t>Current Central Hydrogen from Natural Gas without CO2 Capture and Sequestration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</si>
</sst>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s>
  <fonts count="84"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10"/>
      <color theme="3" tint="0.59999389629810485"/>
      <name val="Arial"/>
      <family val="2"/>
    </font>
    <font>
      <b/>
      <sz val="10"/>
      <color theme="3" tint="0.59999389629810485"/>
      <name val="Arial"/>
      <family val="2"/>
    </font>
  </fonts>
  <fills count="27">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7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right style="thin">
        <color indexed="64"/>
      </right>
      <top style="thin">
        <color indexed="64"/>
      </top>
      <bottom/>
      <diagonal/>
    </border>
    <border>
      <left/>
      <right style="thin">
        <color indexed="64"/>
      </right>
      <top/>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718">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167" fontId="0" fillId="0" borderId="59" xfId="0" applyNumberForma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6" fontId="1" fillId="5" borderId="99" xfId="0" applyNumberFormat="1" applyFont="1" applyFill="1" applyBorder="1" applyAlignment="1" applyProtection="1">
      <alignment wrapText="1"/>
      <protection locked="0"/>
    </xf>
    <xf numFmtId="6" fontId="1" fillId="5" borderId="100" xfId="0" applyNumberFormat="1" applyFont="1" applyFill="1" applyBorder="1" applyAlignment="1" applyProtection="1">
      <alignment wrapText="1"/>
      <protection locked="0"/>
    </xf>
    <xf numFmtId="42" fontId="1" fillId="5" borderId="100" xfId="0" applyNumberFormat="1" applyFont="1" applyFill="1" applyBorder="1" applyAlignment="1" applyProtection="1">
      <alignment wrapText="1"/>
      <protection locked="0"/>
    </xf>
    <xf numFmtId="14" fontId="1" fillId="6" borderId="136"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14" fontId="1" fillId="6" borderId="145" xfId="0" applyNumberFormat="1" applyFont="1" applyFill="1" applyBorder="1" applyAlignment="1" applyProtection="1">
      <alignment wrapText="1"/>
      <protection locked="0"/>
    </xf>
    <xf numFmtId="14" fontId="1" fillId="6" borderId="101" xfId="0" applyNumberFormat="1" applyFont="1" applyFill="1" applyBorder="1" applyAlignment="1" applyProtection="1">
      <alignment wrapText="1"/>
      <protection locked="0"/>
    </xf>
    <xf numFmtId="0" fontId="1" fillId="6" borderId="37" xfId="0" applyFont="1" applyFill="1" applyBorder="1" applyAlignment="1" applyProtection="1">
      <alignment wrapText="1"/>
      <protection locked="0"/>
    </xf>
    <xf numFmtId="0" fontId="1" fillId="6" borderId="30" xfId="0" applyFont="1" applyFill="1" applyBorder="1" applyAlignment="1" applyProtection="1">
      <alignment wrapText="1"/>
      <protection locked="0"/>
    </xf>
    <xf numFmtId="0" fontId="13" fillId="0" borderId="148" xfId="0" applyFont="1" applyFill="1" applyBorder="1" applyAlignment="1" applyProtection="1">
      <alignment horizontal="center" vertical="top" wrapText="1"/>
      <protection locked="0"/>
    </xf>
    <xf numFmtId="0" fontId="3" fillId="0" borderId="149" xfId="0" applyFont="1" applyBorder="1" applyAlignment="1" applyProtection="1">
      <alignment horizontal="center" vertical="top" wrapText="1"/>
      <protection locked="0"/>
    </xf>
    <xf numFmtId="0" fontId="3" fillId="0" borderId="150" xfId="0" applyFont="1" applyBorder="1" applyAlignment="1" applyProtection="1">
      <alignment horizontal="center" vertical="top" wrapText="1"/>
      <protection locked="0"/>
    </xf>
    <xf numFmtId="0" fontId="1" fillId="0" borderId="30" xfId="0" applyFont="1" applyFill="1" applyBorder="1" applyAlignment="1" applyProtection="1">
      <alignment horizontal="left" vertical="top" wrapText="1"/>
      <protection locked="0"/>
    </xf>
    <xf numFmtId="9" fontId="1" fillId="6" borderId="30" xfId="0" applyNumberFormat="1" applyFont="1" applyFill="1" applyBorder="1" applyAlignment="1" applyProtection="1">
      <alignment horizontal="left" vertical="top" wrapText="1"/>
      <protection locked="0"/>
    </xf>
    <xf numFmtId="0" fontId="1" fillId="6" borderId="30" xfId="0" applyFont="1" applyFill="1" applyBorder="1" applyAlignment="1" applyProtection="1">
      <alignment horizontal="left" vertical="top" wrapText="1"/>
      <protection locked="0"/>
    </xf>
    <xf numFmtId="0" fontId="0" fillId="6" borderId="8" xfId="0" applyFill="1" applyBorder="1" applyAlignment="1" applyProtection="1">
      <alignment horizontal="left" vertical="top" wrapText="1"/>
      <protection locked="0"/>
    </xf>
    <xf numFmtId="0" fontId="1" fillId="0" borderId="8" xfId="0" applyFont="1" applyFill="1" applyBorder="1" applyAlignment="1" applyProtection="1">
      <alignment horizontal="left" vertical="top" wrapText="1"/>
      <protection locked="0"/>
    </xf>
    <xf numFmtId="9" fontId="1" fillId="6" borderId="8" xfId="0" applyNumberFormat="1" applyFont="1" applyFill="1" applyBorder="1" applyAlignment="1" applyProtection="1">
      <alignment horizontal="left" vertical="top" wrapText="1"/>
      <protection locked="0"/>
    </xf>
    <xf numFmtId="0" fontId="1" fillId="6" borderId="8" xfId="0" applyFont="1" applyFill="1" applyBorder="1" applyAlignment="1" applyProtection="1">
      <alignment horizontal="left" vertical="top" wrapText="1"/>
      <protection locked="0"/>
    </xf>
    <xf numFmtId="0" fontId="3" fillId="7" borderId="57" xfId="0" applyFont="1" applyFill="1" applyBorder="1"/>
    <xf numFmtId="0" fontId="3" fillId="7" borderId="57" xfId="0" applyFont="1" applyFill="1" applyBorder="1" applyAlignment="1">
      <alignment horizontal="center"/>
    </xf>
    <xf numFmtId="0" fontId="3" fillId="0" borderId="146" xfId="0" applyFont="1" applyFill="1" applyBorder="1"/>
    <xf numFmtId="0" fontId="3" fillId="0" borderId="146" xfId="0" applyFont="1" applyFill="1" applyBorder="1" applyAlignment="1">
      <alignment horizontal="center"/>
    </xf>
    <xf numFmtId="0" fontId="0" fillId="0" borderId="141" xfId="0" applyBorder="1"/>
    <xf numFmtId="167" fontId="0" fillId="0" borderId="141" xfId="0" applyNumberFormat="1" applyBorder="1" applyAlignment="1">
      <alignment horizontal="center"/>
    </xf>
    <xf numFmtId="167" fontId="0" fillId="0" borderId="141" xfId="0" quotePrefix="1" applyNumberFormat="1" applyBorder="1" applyAlignment="1">
      <alignment horizontal="center"/>
    </xf>
    <xf numFmtId="3" fontId="0" fillId="0" borderId="141" xfId="0" applyNumberFormat="1" applyBorder="1" applyAlignment="1">
      <alignment horizontal="center"/>
    </xf>
    <xf numFmtId="1" fontId="0" fillId="0" borderId="141" xfId="0" applyNumberFormat="1" applyBorder="1" applyAlignment="1">
      <alignment horizontal="center"/>
    </xf>
    <xf numFmtId="0" fontId="0" fillId="0" borderId="147" xfId="0" applyBorder="1"/>
    <xf numFmtId="166" fontId="0" fillId="0" borderId="147" xfId="0" applyNumberFormat="1" applyBorder="1" applyAlignment="1">
      <alignment horizontal="center"/>
    </xf>
    <xf numFmtId="0" fontId="0" fillId="0" borderId="0" xfId="0" applyBorder="1"/>
    <xf numFmtId="0" fontId="1" fillId="0" borderId="4" xfId="0" applyFont="1" applyFill="1" applyBorder="1"/>
    <xf numFmtId="0" fontId="1" fillId="0" borderId="4" xfId="0" applyFont="1" applyFill="1" applyBorder="1" applyAlignment="1">
      <alignment horizontal="left"/>
    </xf>
    <xf numFmtId="167" fontId="1" fillId="0" borderId="0" xfId="0" applyNumberFormat="1" applyFont="1" applyFill="1" applyBorder="1"/>
    <xf numFmtId="0" fontId="1" fillId="0" borderId="58" xfId="0" applyFont="1" applyFill="1" applyBorder="1"/>
    <xf numFmtId="0" fontId="1" fillId="21" borderId="58" xfId="0" applyFont="1" applyFill="1" applyBorder="1"/>
    <xf numFmtId="0" fontId="82" fillId="0" borderId="0" xfId="0" applyFont="1"/>
    <xf numFmtId="0" fontId="83" fillId="0" borderId="0" xfId="0" applyFont="1"/>
    <xf numFmtId="0" fontId="82" fillId="0" borderId="161" xfId="0" applyFont="1" applyBorder="1"/>
    <xf numFmtId="0" fontId="82" fillId="0" borderId="129" xfId="0" applyFont="1" applyBorder="1"/>
    <xf numFmtId="0" fontId="82" fillId="0" borderId="177" xfId="0" applyFont="1" applyBorder="1"/>
    <xf numFmtId="0" fontId="82" fillId="0" borderId="44" xfId="0" applyFont="1" applyBorder="1"/>
    <xf numFmtId="0" fontId="82" fillId="0" borderId="0" xfId="0" applyFont="1" applyBorder="1"/>
    <xf numFmtId="0" fontId="82" fillId="0" borderId="178" xfId="0" applyFont="1" applyBorder="1"/>
    <xf numFmtId="0" fontId="82" fillId="0" borderId="142" xfId="0" applyFont="1" applyBorder="1"/>
    <xf numFmtId="0" fontId="82" fillId="0" borderId="140" xfId="0" applyFont="1" applyBorder="1"/>
    <xf numFmtId="0" fontId="82" fillId="0" borderId="29" xfId="0" applyFont="1" applyBorder="1"/>
    <xf numFmtId="173" fontId="17" fillId="0" borderId="12" xfId="16" applyFont="1" applyBorder="1" applyAlignment="1" applyProtection="1"/>
    <xf numFmtId="0" fontId="0" fillId="18" borderId="0" xfId="0" applyFill="1"/>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188" fontId="1" fillId="5" borderId="62" xfId="0" applyNumberFormat="1"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11" fillId="0" borderId="0" xfId="0" applyFont="1" applyFill="1" applyBorder="1" applyAlignment="1">
      <alignment horizontal="left" vertic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Border="1" applyAlignment="1">
      <alignment horizontal="left" vertical="top" wrapText="1"/>
    </xf>
    <xf numFmtId="0" fontId="11" fillId="6" borderId="0" xfId="0" quotePrefix="1"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4" borderId="4"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 fillId="6" borderId="55" xfId="0" applyFont="1" applyFill="1" applyBorder="1" applyAlignment="1">
      <alignment horizontal="left" vertical="top" wrapText="1"/>
    </xf>
    <xf numFmtId="0" fontId="1" fillId="6" borderId="10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0" fillId="6" borderId="108" xfId="0"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7" fillId="0" borderId="0"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3" fillId="0" borderId="0" xfId="0" applyFont="1" applyFill="1" applyBorder="1" applyAlignment="1">
      <alignment horizontal="center"/>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Other Variable Operating Costs</c:v>
                </c:pt>
                <c:pt idx="6">
                  <c:v>Initial Equity Depreciable Capital</c:v>
                </c:pt>
                <c:pt idx="7">
                  <c:v>Fixed Operating Cost</c:v>
                </c:pt>
                <c:pt idx="8">
                  <c:v>Debt Interest</c:v>
                </c:pt>
                <c:pt idx="9">
                  <c:v>Cash for Working Capital Reserve</c:v>
                </c:pt>
                <c:pt idx="10">
                  <c:v>Yearly Replacement Costs</c:v>
                </c:pt>
                <c:pt idx="11">
                  <c:v>Taxes</c:v>
                </c:pt>
                <c:pt idx="12">
                  <c:v>Principal Payment</c:v>
                </c:pt>
                <c:pt idx="13">
                  <c:v>Decommissioning Costs</c:v>
                </c:pt>
                <c:pt idx="14">
                  <c:v>Other Non-Depreciable Capital Costs</c:v>
                </c:pt>
                <c:pt idx="15">
                  <c:v>Other Raw Material Cost</c:v>
                </c:pt>
              </c:strCache>
            </c:strRef>
          </c:cat>
          <c:val>
            <c:numRef>
              <c:f>'Tornado Charts &amp; Risk Analysis'!$I$155:$I$170</c:f>
              <c:numCache>
                <c:formatCode>_("$"* #,##0.00_);_("$"* \(#,##0.00\);_("$"* "-"??_);_(@_)</c:formatCode>
                <c:ptCount val="16"/>
                <c:pt idx="0">
                  <c:v>1.1483403443896121</c:v>
                </c:pt>
                <c:pt idx="1">
                  <c:v>8.00769901059783E-4</c:v>
                </c:pt>
                <c:pt idx="2">
                  <c:v>0</c:v>
                </c:pt>
                <c:pt idx="4">
                  <c:v>0.82763314128326659</c:v>
                </c:pt>
                <c:pt idx="5">
                  <c:v>9.2095669300620797E-2</c:v>
                </c:pt>
                <c:pt idx="6">
                  <c:v>7.368822645034942E-2</c:v>
                </c:pt>
                <c:pt idx="7">
                  <c:v>7.2865532650274817E-2</c:v>
                </c:pt>
                <c:pt idx="8">
                  <c:v>4.8408155517525683E-2</c:v>
                </c:pt>
                <c:pt idx="9">
                  <c:v>1.3532384735662329E-2</c:v>
                </c:pt>
                <c:pt idx="10">
                  <c:v>1.0349261193574029E-2</c:v>
                </c:pt>
                <c:pt idx="11">
                  <c:v>7.1457440652860586E-3</c:v>
                </c:pt>
                <c:pt idx="12">
                  <c:v>2.1746047909649352E-3</c:v>
                </c:pt>
                <c:pt idx="13">
                  <c:v>7.9899639237872733E-4</c:v>
                </c:pt>
                <c:pt idx="14">
                  <c:v>4.493979107675744E-4</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1.1483403443896121</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8.00769901059783E-4</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0.82763314128326659</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Other Variable Operating Costs</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9.2095669300620797E-2</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7.368822645034942E-2</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Fixed Operating Cost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7.2865532650274817E-2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Debt Interest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4.8408155517525683E-2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Cash for Working Capital Reserve</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1.3532384735662329E-2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Yearly Replacement Costs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1.0349261193574029E-2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Taxes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7.1457440652860586E-3</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Principal Payment</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2.1746047909649352E-3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7.9899639237872733E-4</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4.493979107675744E-4</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Raw Material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1.1491411142906718</c:v>
                </c:pt>
                <c:pt idx="1">
                  <c:v>1.1491411142906711</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(95%, 90%, 86%)</c:v>
                </c:pt>
                <c:pt idx="2">
                  <c:v>Total Capital Investment
($236,073K, $248,498K, $260,923K) </c:v>
                </c:pt>
                <c:pt idx="3">
                  <c:v>Plant Design Capacity (kg of H2/day)
(398,356, 379,387, 360,418) </c:v>
                </c:pt>
                <c:pt idx="4">
                  <c:v>Total Fixed Operating Cost
($8,456K, $8,901K, $9,346K) </c:v>
                </c:pt>
                <c:pt idx="5">
                  <c:v>After-tax Real IRR
(8%, 8%, 8%)</c:v>
                </c:pt>
                <c:pt idx="6">
                  <c:v>Utilities Consumption (% of baseline)
(95%, 100%, 105%)</c:v>
                </c:pt>
              </c:strCache>
            </c:strRef>
          </c:cat>
          <c:val>
            <c:numRef>
              <c:f>'Tornado Charts &amp; Risk Analysis'!$H$101:$H$107</c:f>
              <c:numCache>
                <c:formatCode>General</c:formatCode>
                <c:ptCount val="7"/>
                <c:pt idx="0">
                  <c:v>1.1061991008873879</c:v>
                </c:pt>
                <c:pt idx="1">
                  <c:v>1.1370562518156271</c:v>
                </c:pt>
                <c:pt idx="2">
                  <c:v>1.1400161850943142</c:v>
                </c:pt>
                <c:pt idx="3">
                  <c:v>1.1438493361582245</c:v>
                </c:pt>
                <c:pt idx="4">
                  <c:v>1.1446301147643239</c:v>
                </c:pt>
                <c:pt idx="5">
                  <c:v>1.1461985173255709</c:v>
                </c:pt>
                <c:pt idx="6">
                  <c:v>1.146163411082268</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($236,073K, $248,498K, $260,923K) </c:v>
                </c:pt>
                <c:pt idx="3">
                  <c:v>Plant Design Capacity (kg of H2/day)
(398,356, 379,387, 360,418) </c:v>
                </c:pt>
                <c:pt idx="4">
                  <c:v>Total Fixed Operating Cost
($8,456K, $8,901K, $9,346K) </c:v>
                </c:pt>
                <c:pt idx="5">
                  <c:v>After-tax Real IRR
(8%, 8%, 8%)</c:v>
                </c:pt>
                <c:pt idx="6">
                  <c:v>Utilities Consumption (% of baseline)
(95%, 100%, 105%)</c:v>
                </c:pt>
              </c:strCache>
            </c:strRef>
          </c:cat>
          <c:val>
            <c:numRef>
              <c:f>'Tornado Charts &amp; Risk Analysis'!$I$101:$I$107</c:f>
              <c:numCache>
                <c:formatCode>General</c:formatCode>
                <c:ptCount val="7"/>
                <c:pt idx="0">
                  <c:v>4.2141243502224146E-2</c:v>
                </c:pt>
                <c:pt idx="1">
                  <c:v>1.1284092573984994E-2</c:v>
                </c:pt>
                <c:pt idx="2">
                  <c:v>8.3241592952978394E-3</c:v>
                </c:pt>
                <c:pt idx="3">
                  <c:v>4.4910082313875943E-3</c:v>
                </c:pt>
                <c:pt idx="4">
                  <c:v>3.7102296252882194E-3</c:v>
                </c:pt>
                <c:pt idx="5">
                  <c:v>2.1418270640412018E-3</c:v>
                </c:pt>
                <c:pt idx="6">
                  <c:v>2.1769333073440311E-3</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($236,073K, $248,498K, $260,923K) </c:v>
                </c:pt>
                <c:pt idx="3">
                  <c:v>Plant Design Capacity (kg of H2/day)
(398,356, 379,387, 360,418) </c:v>
                </c:pt>
                <c:pt idx="4">
                  <c:v>Total Fixed Operating Cost
($8,456K, $8,901K, $9,346K) </c:v>
                </c:pt>
                <c:pt idx="5">
                  <c:v>After-tax Real IRR
(8%, 8%, 8%)</c:v>
                </c:pt>
                <c:pt idx="6">
                  <c:v>Utilities Consumption (% of baseline)
(95%, 100%, 105%)</c:v>
                </c:pt>
              </c:strCache>
            </c:strRef>
          </c:cat>
          <c:val>
            <c:numRef>
              <c:f>'Tornado Charts &amp; Risk Analysis'!$J$101:$J$107</c:f>
              <c:numCache>
                <c:formatCode>General</c:formatCode>
                <c:ptCount val="7"/>
                <c:pt idx="0">
                  <c:v>4.2141243502224368E-2</c:v>
                </c:pt>
                <c:pt idx="1">
                  <c:v>1.2471891792298129E-2</c:v>
                </c:pt>
                <c:pt idx="2">
                  <c:v>8.3241592952973953E-3</c:v>
                </c:pt>
                <c:pt idx="3">
                  <c:v>4.833247978501598E-3</c:v>
                </c:pt>
                <c:pt idx="4">
                  <c:v>3.7102296252888856E-3</c:v>
                </c:pt>
                <c:pt idx="5">
                  <c:v>2.3532420457219594E-3</c:v>
                </c:pt>
                <c:pt idx="6">
                  <c:v>2.176933307343587E-3</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1.1061991008873879</c:v>
                </c:pt>
                <c:pt idx="1">
                  <c:v>1.1370562518156271</c:v>
                </c:pt>
                <c:pt idx="2">
                  <c:v>1.1400161850943142</c:v>
                </c:pt>
                <c:pt idx="3">
                  <c:v>1.1438493361582245</c:v>
                </c:pt>
                <c:pt idx="4">
                  <c:v>1.1446301147643239</c:v>
                </c:pt>
                <c:pt idx="5">
                  <c:v>1.1461985173255709</c:v>
                </c:pt>
                <c:pt idx="6">
                  <c:v>1.146163411082268</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1.1904815878918364</c:v>
                </c:pt>
                <c:pt idx="1">
                  <c:v>1.1608122361819102</c:v>
                </c:pt>
                <c:pt idx="2">
                  <c:v>1.1566645036849095</c:v>
                </c:pt>
                <c:pt idx="3">
                  <c:v>1.1531735923681137</c:v>
                </c:pt>
                <c:pt idx="4">
                  <c:v>1.152050574014901</c:v>
                </c:pt>
                <c:pt idx="5">
                  <c:v>1.150693586435334</c:v>
                </c:pt>
                <c:pt idx="6">
                  <c:v>1.1505172776969557</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1.1483403443896121</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1.1483403443896121</c:v>
                </c:pt>
                <c:pt idx="1">
                  <c:v>1.1061991008873879</c:v>
                </c:pt>
                <c:pt idx="2">
                  <c:v>1.094915008313404</c:v>
                </c:pt>
                <c:pt idx="3">
                  <c:v>1.0869872375559777</c:v>
                </c:pt>
                <c:pt idx="4">
                  <c:v>1.0835523312305069</c:v>
                </c:pt>
                <c:pt idx="5">
                  <c:v>1.0813753979231633</c:v>
                </c:pt>
                <c:pt idx="6">
                  <c:v>1.0813753979231633</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4.2141243502224146E-2</c:v>
                </c:pt>
                <c:pt idx="2">
                  <c:v>1.1284092573983884E-2</c:v>
                </c:pt>
                <c:pt idx="3">
                  <c:v>7.9277707574263445E-3</c:v>
                </c:pt>
                <c:pt idx="4">
                  <c:v>3.4349063254708323E-3</c:v>
                </c:pt>
                <c:pt idx="5">
                  <c:v>2.176933307343587E-3</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1.1025819242353312</c:v>
                </c:pt>
                <c:pt idx="1">
                  <c:v>1.1076080876694441</c:v>
                </c:pt>
                <c:pt idx="2">
                  <c:v>1.1126342511035565</c:v>
                </c:pt>
                <c:pt idx="3">
                  <c:v>1.1176604145376694</c:v>
                </c:pt>
                <c:pt idx="4">
                  <c:v>1.1226865779717818</c:v>
                </c:pt>
                <c:pt idx="5">
                  <c:v>1.1277127414058947</c:v>
                </c:pt>
                <c:pt idx="6">
                  <c:v>1.1327389048400072</c:v>
                </c:pt>
                <c:pt idx="7">
                  <c:v>1.1377650682741201</c:v>
                </c:pt>
                <c:pt idx="8">
                  <c:v>1.1427912317082325</c:v>
                </c:pt>
                <c:pt idx="9">
                  <c:v>1.1478173951423454</c:v>
                </c:pt>
                <c:pt idx="10">
                  <c:v>1.1528435585764578</c:v>
                </c:pt>
                <c:pt idx="11">
                  <c:v>1.1578697220105707</c:v>
                </c:pt>
                <c:pt idx="12">
                  <c:v>1.1628958854446831</c:v>
                </c:pt>
                <c:pt idx="13">
                  <c:v>1.167922048878796</c:v>
                </c:pt>
                <c:pt idx="14">
                  <c:v>1.1729482123129085</c:v>
                </c:pt>
                <c:pt idx="15">
                  <c:v>1.1779743757470214</c:v>
                </c:pt>
                <c:pt idx="16">
                  <c:v>1.1830005391811338</c:v>
                </c:pt>
                <c:pt idx="17">
                  <c:v>1.1880267026152467</c:v>
                </c:pt>
                <c:pt idx="18">
                  <c:v>1.1930528660493591</c:v>
                </c:pt>
                <c:pt idx="19">
                  <c:v>1.1980795294834719</c:v>
                </c:pt>
              </c:numCache>
            </c:numRef>
          </c:xVal>
          <c:yVal>
            <c:numRef>
              <c:f>'Tornado Charts &amp; Risk Analysis'!$I$202:$I$221</c:f>
              <c:numCache>
                <c:formatCode>General</c:formatCode>
                <c:ptCount val="20"/>
                <c:pt idx="0">
                  <c:v>5.0000000000000001E-3</c:v>
                </c:pt>
                <c:pt idx="1">
                  <c:v>1.2500000000000001E-2</c:v>
                </c:pt>
                <c:pt idx="2">
                  <c:v>3.3500000000000002E-2</c:v>
                </c:pt>
                <c:pt idx="3">
                  <c:v>6.5000000000000002E-2</c:v>
                </c:pt>
                <c:pt idx="4">
                  <c:v>0.12</c:v>
                </c:pt>
                <c:pt idx="5">
                  <c:v>0.17799999999999999</c:v>
                </c:pt>
                <c:pt idx="6">
                  <c:v>0.251</c:v>
                </c:pt>
                <c:pt idx="7">
                  <c:v>0.34150000000000003</c:v>
                </c:pt>
                <c:pt idx="8">
                  <c:v>0.43600000000000005</c:v>
                </c:pt>
                <c:pt idx="9">
                  <c:v>0.54900000000000004</c:v>
                </c:pt>
                <c:pt idx="10">
                  <c:v>0.65100000000000002</c:v>
                </c:pt>
                <c:pt idx="11">
                  <c:v>0.73799999999999999</c:v>
                </c:pt>
                <c:pt idx="12">
                  <c:v>0.80899999999999994</c:v>
                </c:pt>
                <c:pt idx="13">
                  <c:v>0.87149999999999994</c:v>
                </c:pt>
                <c:pt idx="14">
                  <c:v>0.92049999999999998</c:v>
                </c:pt>
                <c:pt idx="15">
                  <c:v>0.95650000000000002</c:v>
                </c:pt>
                <c:pt idx="16">
                  <c:v>0.97899999999999998</c:v>
                </c:pt>
                <c:pt idx="17">
                  <c:v>0.99049999999999994</c:v>
                </c:pt>
                <c:pt idx="18">
                  <c:v>0.99749999999999994</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1.1025819242353312</c:v>
                </c:pt>
                <c:pt idx="1">
                  <c:v>1.1076080876694441</c:v>
                </c:pt>
                <c:pt idx="2">
                  <c:v>1.1126342511035565</c:v>
                </c:pt>
                <c:pt idx="3">
                  <c:v>1.1176604145376694</c:v>
                </c:pt>
                <c:pt idx="4">
                  <c:v>1.1226865779717818</c:v>
                </c:pt>
                <c:pt idx="5">
                  <c:v>1.1277127414058947</c:v>
                </c:pt>
                <c:pt idx="6">
                  <c:v>1.1327389048400072</c:v>
                </c:pt>
                <c:pt idx="7">
                  <c:v>1.1377650682741201</c:v>
                </c:pt>
                <c:pt idx="8">
                  <c:v>1.1427912317082325</c:v>
                </c:pt>
                <c:pt idx="9">
                  <c:v>1.1478173951423454</c:v>
                </c:pt>
                <c:pt idx="10">
                  <c:v>1.1528435585764578</c:v>
                </c:pt>
                <c:pt idx="11">
                  <c:v>1.1578697220105707</c:v>
                </c:pt>
                <c:pt idx="12">
                  <c:v>1.1628958854446831</c:v>
                </c:pt>
                <c:pt idx="13">
                  <c:v>1.167922048878796</c:v>
                </c:pt>
                <c:pt idx="14">
                  <c:v>1.1729482123129085</c:v>
                </c:pt>
                <c:pt idx="15">
                  <c:v>1.1779743757470214</c:v>
                </c:pt>
                <c:pt idx="16">
                  <c:v>1.1830005391811338</c:v>
                </c:pt>
                <c:pt idx="17">
                  <c:v>1.1880267026152467</c:v>
                </c:pt>
                <c:pt idx="18">
                  <c:v>1.1930528660493591</c:v>
                </c:pt>
                <c:pt idx="19">
                  <c:v>1.1980795294834719</c:v>
                </c:pt>
              </c:numCache>
            </c:numRef>
          </c:xVal>
          <c:yVal>
            <c:numRef>
              <c:f>'Tornado Charts &amp; Risk Analysis'!$H$202:$H$221</c:f>
              <c:numCache>
                <c:formatCode>General</c:formatCode>
                <c:ptCount val="20"/>
                <c:pt idx="0">
                  <c:v>5.0000000000000001E-3</c:v>
                </c:pt>
                <c:pt idx="1">
                  <c:v>7.4999999999999997E-3</c:v>
                </c:pt>
                <c:pt idx="2">
                  <c:v>2.1000000000000001E-2</c:v>
                </c:pt>
                <c:pt idx="3">
                  <c:v>3.15E-2</c:v>
                </c:pt>
                <c:pt idx="4">
                  <c:v>5.5E-2</c:v>
                </c:pt>
                <c:pt idx="5">
                  <c:v>5.8000000000000003E-2</c:v>
                </c:pt>
                <c:pt idx="6">
                  <c:v>7.2999999999999995E-2</c:v>
                </c:pt>
                <c:pt idx="7">
                  <c:v>9.0499999999999997E-2</c:v>
                </c:pt>
                <c:pt idx="8">
                  <c:v>9.4500000000000001E-2</c:v>
                </c:pt>
                <c:pt idx="9">
                  <c:v>0.113</c:v>
                </c:pt>
                <c:pt idx="10">
                  <c:v>0.10199999999999999</c:v>
                </c:pt>
                <c:pt idx="11">
                  <c:v>8.6999999999999994E-2</c:v>
                </c:pt>
                <c:pt idx="12">
                  <c:v>7.0999999999999994E-2</c:v>
                </c:pt>
                <c:pt idx="13">
                  <c:v>6.25E-2</c:v>
                </c:pt>
                <c:pt idx="14">
                  <c:v>4.9000000000000002E-2</c:v>
                </c:pt>
                <c:pt idx="15">
                  <c:v>3.5999999999999997E-2</c:v>
                </c:pt>
                <c:pt idx="16">
                  <c:v>2.2499999999999999E-2</c:v>
                </c:pt>
                <c:pt idx="17">
                  <c:v>1.15E-2</c:v>
                </c:pt>
                <c:pt idx="18">
                  <c:v>7.0000000000000001E-3</c:v>
                </c:pt>
                <c:pt idx="19">
                  <c:v>2.5000000000000001E-3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image" Target="../media/image33.emf"/><Relationship Id="rId7" Type="http://schemas.openxmlformats.org/officeDocument/2006/relationships/image" Target="../media/image28.emf"/><Relationship Id="rId2" Type="http://schemas.openxmlformats.org/officeDocument/2006/relationships/image" Target="../media/image32.emf"/><Relationship Id="rId1" Type="http://schemas.openxmlformats.org/officeDocument/2006/relationships/image" Target="../media/image31.emf"/><Relationship Id="rId6" Type="http://schemas.openxmlformats.org/officeDocument/2006/relationships/image" Target="../media/image29.emf"/><Relationship Id="rId11" Type="http://schemas.openxmlformats.org/officeDocument/2006/relationships/image" Target="../media/image24.emf"/><Relationship Id="rId5" Type="http://schemas.openxmlformats.org/officeDocument/2006/relationships/image" Target="../media/image30.emf"/><Relationship Id="rId10" Type="http://schemas.openxmlformats.org/officeDocument/2006/relationships/image" Target="../media/image25.emf"/><Relationship Id="rId4" Type="http://schemas.openxmlformats.org/officeDocument/2006/relationships/image" Target="../media/image34.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6862000</xdr:colOff>
      <xdr:row>1</xdr:row>
      <xdr:rowOff>210590</xdr:rowOff>
    </xdr:from>
    <xdr:to>
      <xdr:col>1</xdr:col>
      <xdr:colOff>7991436</xdr:colOff>
      <xdr:row>3</xdr:row>
      <xdr:rowOff>138465</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7467118" y="367472"/>
          <a:ext cx="1129436" cy="37611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0</xdr:colOff>
      <xdr:row>8</xdr:row>
      <xdr:rowOff>0</xdr:rowOff>
    </xdr:from>
    <xdr:to>
      <xdr:col>2</xdr:col>
      <xdr:colOff>466725</xdr:colOff>
      <xdr:row>20</xdr:row>
      <xdr:rowOff>33618</xdr:rowOff>
    </xdr:to>
    <xdr:pic>
      <xdr:nvPicPr>
        <xdr:cNvPr id="6" name="Picture 2">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5118" y="1400735"/>
          <a:ext cx="8815107" cy="4538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225</xdr:row>
      <xdr:rowOff>0</xdr:rowOff>
    </xdr:from>
    <xdr:to>
      <xdr:col>2</xdr:col>
      <xdr:colOff>76200</xdr:colOff>
      <xdr:row>226</xdr:row>
      <xdr:rowOff>36440</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165100</xdr:colOff>
          <xdr:row>66</xdr:row>
          <xdr:rowOff>12700</xdr:rowOff>
        </xdr:from>
        <xdr:to>
          <xdr:col>3</xdr:col>
          <xdr:colOff>488950</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31750</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128</xdr:row>
          <xdr:rowOff>247650</xdr:rowOff>
        </xdr:from>
        <xdr:to>
          <xdr:col>3</xdr:col>
          <xdr:colOff>184150</xdr:colOff>
          <xdr:row>129</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2222500</xdr:colOff>
          <xdr:row>131</xdr:row>
          <xdr:rowOff>38100</xdr:rowOff>
        </xdr:from>
        <xdr:to>
          <xdr:col>1</xdr:col>
          <xdr:colOff>3613150</xdr:colOff>
          <xdr:row>131</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131</xdr:row>
          <xdr:rowOff>50800</xdr:rowOff>
        </xdr:from>
        <xdr:to>
          <xdr:col>3</xdr:col>
          <xdr:colOff>609600</xdr:colOff>
          <xdr:row>131</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40</xdr:row>
          <xdr:rowOff>184150</xdr:rowOff>
        </xdr:from>
        <xdr:to>
          <xdr:col>3</xdr:col>
          <xdr:colOff>1231900</xdr:colOff>
          <xdr:row>41</xdr:row>
          <xdr:rowOff>184150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42</xdr:row>
          <xdr:rowOff>12700</xdr:rowOff>
        </xdr:from>
        <xdr:to>
          <xdr:col>3</xdr:col>
          <xdr:colOff>1231900</xdr:colOff>
          <xdr:row>43</xdr:row>
          <xdr:rowOff>12700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29</xdr:row>
          <xdr:rowOff>12700</xdr:rowOff>
        </xdr:from>
        <xdr:to>
          <xdr:col>3</xdr:col>
          <xdr:colOff>1231900</xdr:colOff>
          <xdr:row>30</xdr:row>
          <xdr:rowOff>31750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12700</xdr:rowOff>
        </xdr:from>
        <xdr:to>
          <xdr:col>3</xdr:col>
          <xdr:colOff>1231900</xdr:colOff>
          <xdr:row>49</xdr:row>
          <xdr:rowOff>12700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49</xdr:row>
          <xdr:rowOff>12700</xdr:rowOff>
        </xdr:from>
        <xdr:to>
          <xdr:col>3</xdr:col>
          <xdr:colOff>1231900</xdr:colOff>
          <xdr:row>50</xdr:row>
          <xdr:rowOff>12700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51</xdr:row>
          <xdr:rowOff>12700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51</xdr:row>
          <xdr:rowOff>12700</xdr:rowOff>
        </xdr:from>
        <xdr:to>
          <xdr:col>3</xdr:col>
          <xdr:colOff>1231900</xdr:colOff>
          <xdr:row>52</xdr:row>
          <xdr:rowOff>12700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52</xdr:row>
          <xdr:rowOff>12700</xdr:rowOff>
        </xdr:from>
        <xdr:to>
          <xdr:col>3</xdr:col>
          <xdr:colOff>1231900</xdr:colOff>
          <xdr:row>53</xdr:row>
          <xdr:rowOff>12700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53</xdr:row>
          <xdr:rowOff>12700</xdr:rowOff>
        </xdr:from>
        <xdr:to>
          <xdr:col>3</xdr:col>
          <xdr:colOff>1231900</xdr:colOff>
          <xdr:row>54</xdr:row>
          <xdr:rowOff>12700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55</xdr:row>
          <xdr:rowOff>12700</xdr:rowOff>
        </xdr:from>
        <xdr:to>
          <xdr:col>3</xdr:col>
          <xdr:colOff>1231900</xdr:colOff>
          <xdr:row>56</xdr:row>
          <xdr:rowOff>12700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113</xdr:row>
          <xdr:rowOff>12700</xdr:rowOff>
        </xdr:from>
        <xdr:to>
          <xdr:col>3</xdr:col>
          <xdr:colOff>1162050</xdr:colOff>
          <xdr:row>114</xdr:row>
          <xdr:rowOff>31750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116</xdr:row>
          <xdr:rowOff>38100</xdr:rowOff>
        </xdr:from>
        <xdr:to>
          <xdr:col>3</xdr:col>
          <xdr:colOff>1085850</xdr:colOff>
          <xdr:row>116</xdr:row>
          <xdr:rowOff>247650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154</xdr:row>
          <xdr:rowOff>12700</xdr:rowOff>
        </xdr:from>
        <xdr:to>
          <xdr:col>5</xdr:col>
          <xdr:colOff>1212850</xdr:colOff>
          <xdr:row>155</xdr:row>
          <xdr:rowOff>12700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155</xdr:row>
          <xdr:rowOff>12700</xdr:rowOff>
        </xdr:from>
        <xdr:to>
          <xdr:col>5</xdr:col>
          <xdr:colOff>1212850</xdr:colOff>
          <xdr:row>156</xdr:row>
          <xdr:rowOff>12700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156</xdr:row>
          <xdr:rowOff>0</xdr:rowOff>
        </xdr:from>
        <xdr:to>
          <xdr:col>5</xdr:col>
          <xdr:colOff>1212850</xdr:colOff>
          <xdr:row>157</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158</xdr:row>
          <xdr:rowOff>0</xdr:rowOff>
        </xdr:from>
        <xdr:to>
          <xdr:col>5</xdr:col>
          <xdr:colOff>1212850</xdr:colOff>
          <xdr:row>159</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160</xdr:row>
          <xdr:rowOff>0</xdr:rowOff>
        </xdr:from>
        <xdr:to>
          <xdr:col>5</xdr:col>
          <xdr:colOff>1212850</xdr:colOff>
          <xdr:row>161</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130</xdr:row>
      <xdr:rowOff>289433</xdr:rowOff>
    </xdr:from>
    <xdr:to>
      <xdr:col>5</xdr:col>
      <xdr:colOff>681318</xdr:colOff>
      <xdr:row>132</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133</xdr:row>
      <xdr:rowOff>143435</xdr:rowOff>
    </xdr:from>
    <xdr:to>
      <xdr:col>4</xdr:col>
      <xdr:colOff>645460</xdr:colOff>
      <xdr:row>134</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133</xdr:row>
      <xdr:rowOff>152400</xdr:rowOff>
    </xdr:from>
    <xdr:to>
      <xdr:col>5</xdr:col>
      <xdr:colOff>1156447</xdr:colOff>
      <xdr:row>135</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153</xdr:row>
      <xdr:rowOff>17930</xdr:rowOff>
    </xdr:from>
    <xdr:to>
      <xdr:col>4</xdr:col>
      <xdr:colOff>762001</xdr:colOff>
      <xdr:row>153</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88</xdr:row>
      <xdr:rowOff>20351</xdr:rowOff>
    </xdr:from>
    <xdr:to>
      <xdr:col>3</xdr:col>
      <xdr:colOff>1364974</xdr:colOff>
      <xdr:row>90</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0.32917</cdr:x>
      <cdr:y>0.42919</cdr:y>
    </cdr:to>
    <cdr:sp macro="" textlink="'Tornado Charts &amp; Risk Analysis'!$H$160">
      <cdr:nvSpPr>
        <cdr:cNvPr id="7" name="TextBox 1"/>
        <cdr:cNvSpPr txBox="1"/>
      </cdr:nvSpPr>
      <cdr:spPr>
        <a:xfrm xmlns:a="http://schemas.openxmlformats.org/drawingml/2006/main">
          <a:off x="0" y="1653866"/>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0.33866</cdr:x>
      <cdr:y>0.48115</cdr:y>
    </cdr:to>
    <cdr:sp macro="" textlink="'Tornado Charts &amp; Risk Analysis'!$H$161">
      <cdr:nvSpPr>
        <cdr:cNvPr id="8" name="TextBox 1"/>
        <cdr:cNvSpPr txBox="1"/>
      </cdr:nvSpPr>
      <cdr:spPr>
        <a:xfrm xmlns:a="http://schemas.openxmlformats.org/drawingml/2006/main">
          <a:off x="0" y="1883124"/>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0.23288</cdr:x>
      <cdr:y>0.53278</cdr:y>
    </cdr:to>
    <cdr:sp macro="" textlink="'Tornado Charts &amp; Risk Analysis'!$H$162">
      <cdr:nvSpPr>
        <cdr:cNvPr id="9" name="TextBox 1"/>
        <cdr:cNvSpPr txBox="1"/>
      </cdr:nvSpPr>
      <cdr:spPr>
        <a:xfrm xmlns:a="http://schemas.openxmlformats.org/drawingml/2006/main">
          <a:off x="0" y="2110925"/>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0.15325</cdr:x>
      <cdr:y>0.58457</cdr:y>
    </cdr:to>
    <cdr:sp macro="" textlink="'Tornado Charts &amp; Risk Analysis'!$H$163">
      <cdr:nvSpPr>
        <cdr:cNvPr id="10" name="TextBox 1"/>
        <cdr:cNvSpPr txBox="1"/>
      </cdr:nvSpPr>
      <cdr:spPr>
        <a:xfrm xmlns:a="http://schemas.openxmlformats.org/drawingml/2006/main">
          <a:off x="0" y="2339432"/>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0.35408</cdr:x>
      <cdr:y>0.63681</cdr:y>
    </cdr:to>
    <cdr:sp macro="" textlink="'Tornado Charts &amp; Risk Analysis'!$H$164">
      <cdr:nvSpPr>
        <cdr:cNvPr id="11" name="TextBox 1"/>
        <cdr:cNvSpPr txBox="1"/>
      </cdr:nvSpPr>
      <cdr:spPr>
        <a:xfrm xmlns:a="http://schemas.openxmlformats.org/drawingml/2006/main">
          <a:off x="0" y="2569925"/>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0.28397</cdr:x>
      <cdr:y>0.68766</cdr:y>
    </cdr:to>
    <cdr:sp macro="" textlink="'Tornado Charts &amp; Risk Analysis'!$H$165">
      <cdr:nvSpPr>
        <cdr:cNvPr id="12" name="TextBox 1"/>
        <cdr:cNvSpPr txBox="1"/>
      </cdr:nvSpPr>
      <cdr:spPr>
        <a:xfrm xmlns:a="http://schemas.openxmlformats.org/drawingml/2006/main">
          <a:off x="0" y="2794285"/>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0.08904</cdr:x>
      <cdr:y>0.7399</cdr:y>
    </cdr:to>
    <cdr:sp macro="" textlink="'Tornado Charts &amp; Risk Analysis'!$H$166">
      <cdr:nvSpPr>
        <cdr:cNvPr id="13" name="TextBox 1"/>
        <cdr:cNvSpPr txBox="1"/>
      </cdr:nvSpPr>
      <cdr:spPr>
        <a:xfrm xmlns:a="http://schemas.openxmlformats.org/drawingml/2006/main">
          <a:off x="0" y="3024778"/>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0.20315</cdr:x>
      <cdr:y>0.79153</cdr:y>
    </cdr:to>
    <cdr:sp macro="" textlink="'Tornado Charts &amp; Risk Analysis'!$H$167">
      <cdr:nvSpPr>
        <cdr:cNvPr id="14" name="TextBox 1"/>
        <cdr:cNvSpPr txBox="1"/>
      </cdr:nvSpPr>
      <cdr:spPr>
        <a:xfrm xmlns:a="http://schemas.openxmlformats.org/drawingml/2006/main">
          <a:off x="0" y="3252580"/>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0.26017</cdr:x>
      <cdr:y>0.84321</cdr:y>
    </cdr:to>
    <cdr:sp macro="" textlink="'Tornado Charts &amp; Risk Analysis'!$H$168">
      <cdr:nvSpPr>
        <cdr:cNvPr id="15" name="TextBox 1"/>
        <cdr:cNvSpPr txBox="1"/>
      </cdr:nvSpPr>
      <cdr:spPr>
        <a:xfrm xmlns:a="http://schemas.openxmlformats.org/drawingml/2006/main">
          <a:off x="0" y="3480602"/>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0.38381</cdr:x>
      <cdr:y>0.89495</cdr:y>
    </cdr:to>
    <cdr:sp macro="" textlink="'Tornado Charts &amp; Risk Analysis'!$H$169">
      <cdr:nvSpPr>
        <cdr:cNvPr id="16" name="TextBox 1"/>
        <cdr:cNvSpPr txBox="1"/>
      </cdr:nvSpPr>
      <cdr:spPr>
        <a:xfrm xmlns:a="http://schemas.openxmlformats.org/drawingml/2006/main">
          <a:off x="0" y="370888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0.26533</cdr:x>
      <cdr:y>0.94697</cdr:y>
    </cdr:to>
    <cdr:sp macro="" textlink="'Tornado Charts &amp; Risk Analysis'!$H$170">
      <cdr:nvSpPr>
        <cdr:cNvPr id="17" name="TextBox 1"/>
        <cdr:cNvSpPr txBox="1"/>
      </cdr:nvSpPr>
      <cdr:spPr>
        <a:xfrm xmlns:a="http://schemas.openxmlformats.org/drawingml/2006/main">
          <a:off x="0" y="393364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4</xdr:col>
          <xdr:colOff>38100</xdr:colOff>
          <xdr:row>44</xdr:row>
          <xdr:rowOff>19050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69850</xdr:rowOff>
        </xdr:from>
        <xdr:to>
          <xdr:col>4</xdr:col>
          <xdr:colOff>38100</xdr:colOff>
          <xdr:row>30</xdr:row>
          <xdr:rowOff>279400</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146050</xdr:colOff>
          <xdr:row>43</xdr:row>
          <xdr:rowOff>12700</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241300</xdr:colOff>
          <xdr:row>31</xdr:row>
          <xdr:rowOff>69850</xdr:rowOff>
        </xdr:from>
        <xdr:to>
          <xdr:col>4</xdr:col>
          <xdr:colOff>31750</xdr:colOff>
          <xdr:row>31</xdr:row>
          <xdr:rowOff>279400</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31</xdr:row>
          <xdr:rowOff>336550</xdr:rowOff>
        </xdr:from>
        <xdr:to>
          <xdr:col>4</xdr:col>
          <xdr:colOff>31750</xdr:colOff>
          <xdr:row>33</xdr:row>
          <xdr:rowOff>12700</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32</xdr:row>
          <xdr:rowOff>165100</xdr:rowOff>
        </xdr:from>
        <xdr:to>
          <xdr:col>4</xdr:col>
          <xdr:colOff>31750</xdr:colOff>
          <xdr:row>34</xdr:row>
          <xdr:rowOff>12700</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33</xdr:row>
          <xdr:rowOff>152400</xdr:rowOff>
        </xdr:from>
        <xdr:to>
          <xdr:col>4</xdr:col>
          <xdr:colOff>31750</xdr:colOff>
          <xdr:row>34</xdr:row>
          <xdr:rowOff>184150</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34</xdr:row>
          <xdr:rowOff>152400</xdr:rowOff>
        </xdr:from>
        <xdr:to>
          <xdr:col>4</xdr:col>
          <xdr:colOff>31750</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35</xdr:row>
          <xdr:rowOff>165100</xdr:rowOff>
        </xdr:from>
        <xdr:to>
          <xdr:col>4</xdr:col>
          <xdr:colOff>31750</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165100</xdr:rowOff>
        </xdr:from>
        <xdr:to>
          <xdr:col>4</xdr:col>
          <xdr:colOff>38100</xdr:colOff>
          <xdr:row>40</xdr:row>
          <xdr:rowOff>19050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Other Variable Operating Costs</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Fixed Operating Cost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Debt Interest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Cash for Working Capital Reserve</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Yearly Replacement Costs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Taxes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Principal Payment</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($236,073K, $248,498K, $260,923K)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Plant Design Capacity (kg of H2/day)
(398,356, 379,387, 360,418)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After-tax Real IRR
(8%, 8%, 8%)</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Total Fixed Operating Cost
($8,456K, $8,901K, $9,346K) </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2</xdr:col>
          <xdr:colOff>57150</xdr:colOff>
          <xdr:row>2</xdr:row>
          <xdr:rowOff>95250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95250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4"/>
  <sheetViews>
    <sheetView tabSelected="1" workbookViewId="0">
      <selection activeCell="B2" sqref="B2"/>
    </sheetView>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2" t="s">
        <v>407</v>
      </c>
    </row>
    <row r="4" spans="2:4" ht="13" thickBot="1" x14ac:dyDescent="0.3"/>
    <row r="5" spans="2:4" ht="26" thickTop="1" x14ac:dyDescent="0.3">
      <c r="B5" s="788" t="s">
        <v>211</v>
      </c>
      <c r="C5" s="1262" t="s">
        <v>1424</v>
      </c>
      <c r="D5" s="1265"/>
    </row>
    <row r="6" spans="2:4" ht="13" x14ac:dyDescent="0.3">
      <c r="B6" s="791" t="s">
        <v>212</v>
      </c>
      <c r="C6" s="1263" t="s">
        <v>1370</v>
      </c>
      <c r="D6" s="1265"/>
    </row>
    <row r="7" spans="2:4" ht="13" x14ac:dyDescent="0.3">
      <c r="B7" s="791" t="s">
        <v>213</v>
      </c>
      <c r="C7" s="1263" t="s">
        <v>1346</v>
      </c>
      <c r="D7" s="1265"/>
    </row>
    <row r="8" spans="2:4" ht="13" x14ac:dyDescent="0.3">
      <c r="B8" s="791" t="s">
        <v>214</v>
      </c>
      <c r="C8" s="1263" t="s">
        <v>1347</v>
      </c>
      <c r="D8" s="1265"/>
    </row>
    <row r="9" spans="2:4" ht="13" x14ac:dyDescent="0.3">
      <c r="B9" s="791" t="s">
        <v>215</v>
      </c>
      <c r="C9" s="992" t="s">
        <v>1348</v>
      </c>
      <c r="D9" s="793"/>
    </row>
    <row r="10" spans="2:4" ht="13" x14ac:dyDescent="0.3">
      <c r="B10" s="791" t="s">
        <v>216</v>
      </c>
      <c r="C10" s="1263" t="s">
        <v>830</v>
      </c>
      <c r="D10" s="1265"/>
    </row>
    <row r="11" spans="2:4" ht="13" x14ac:dyDescent="0.3">
      <c r="B11" s="791" t="s">
        <v>217</v>
      </c>
      <c r="C11" s="1264">
        <v>43137</v>
      </c>
      <c r="D11" s="1443"/>
    </row>
    <row r="12" spans="2:4" ht="13.5" thickBot="1" x14ac:dyDescent="0.35">
      <c r="B12" s="796" t="s">
        <v>218</v>
      </c>
      <c r="C12" s="993" t="s">
        <v>1298</v>
      </c>
      <c r="D12" s="1265"/>
    </row>
    <row r="13" spans="2:4" ht="14" thickTop="1" thickBot="1" x14ac:dyDescent="0.35">
      <c r="B13" s="797"/>
      <c r="C13" s="1265"/>
      <c r="D13" s="1444"/>
    </row>
    <row r="14" spans="2:4" ht="13.5" thickTop="1" x14ac:dyDescent="0.3">
      <c r="B14" s="788" t="s">
        <v>219</v>
      </c>
      <c r="C14" s="1445">
        <v>379387</v>
      </c>
      <c r="D14" s="1446"/>
    </row>
    <row r="15" spans="2:4" ht="13" x14ac:dyDescent="0.3">
      <c r="B15" s="791" t="s">
        <v>220</v>
      </c>
      <c r="C15" s="1266">
        <v>2015</v>
      </c>
      <c r="D15" s="802"/>
    </row>
    <row r="16" spans="2:4" ht="13" x14ac:dyDescent="0.3">
      <c r="B16" s="791" t="s">
        <v>221</v>
      </c>
      <c r="C16" s="1205" t="s">
        <v>283</v>
      </c>
      <c r="D16" s="1446"/>
    </row>
    <row r="17" spans="2:4" ht="13" x14ac:dyDescent="0.3">
      <c r="B17" s="791" t="s">
        <v>222</v>
      </c>
      <c r="C17" s="1205" t="s">
        <v>1371</v>
      </c>
      <c r="D17" s="1446"/>
    </row>
    <row r="18" spans="2:4" ht="13" x14ac:dyDescent="0.3">
      <c r="B18" s="791" t="s">
        <v>223</v>
      </c>
      <c r="C18" s="1205" t="s">
        <v>1372</v>
      </c>
      <c r="D18" s="803"/>
    </row>
    <row r="19" spans="2:4" ht="13" x14ac:dyDescent="0.3">
      <c r="B19" s="791" t="s">
        <v>224</v>
      </c>
      <c r="C19" s="1205" t="s">
        <v>1373</v>
      </c>
      <c r="D19" s="1446"/>
    </row>
    <row r="20" spans="2:4" ht="13" x14ac:dyDescent="0.3">
      <c r="B20" s="791" t="s">
        <v>225</v>
      </c>
      <c r="C20" s="1205" t="s">
        <v>1374</v>
      </c>
      <c r="D20" s="1446"/>
    </row>
    <row r="21" spans="2:4" ht="13" x14ac:dyDescent="0.3">
      <c r="B21" s="791" t="s">
        <v>226</v>
      </c>
      <c r="C21" s="1205" t="s">
        <v>282</v>
      </c>
      <c r="D21" s="1446"/>
    </row>
    <row r="22" spans="2:4" ht="26" x14ac:dyDescent="0.3">
      <c r="B22" s="804" t="s">
        <v>227</v>
      </c>
      <c r="C22" s="1266" t="s">
        <v>1371</v>
      </c>
      <c r="D22" s="1446"/>
    </row>
    <row r="23" spans="2:4" ht="13" x14ac:dyDescent="0.3">
      <c r="B23" s="804" t="s">
        <v>228</v>
      </c>
      <c r="C23" s="1205" t="s">
        <v>1082</v>
      </c>
      <c r="D23" s="1446"/>
    </row>
    <row r="24" spans="2:4" ht="13.5" thickBot="1" x14ac:dyDescent="0.35">
      <c r="B24" s="796" t="s">
        <v>229</v>
      </c>
      <c r="C24" s="1267" t="s">
        <v>1375</v>
      </c>
      <c r="D24" s="1446"/>
    </row>
    <row r="25" spans="2:4" ht="14" thickTop="1" thickBot="1" x14ac:dyDescent="0.35">
      <c r="B25" s="806"/>
      <c r="C25" s="1446"/>
      <c r="D25" s="1446"/>
    </row>
    <row r="26" spans="2:4" ht="13" x14ac:dyDescent="0.3">
      <c r="B26" s="1520" t="s">
        <v>230</v>
      </c>
      <c r="C26" s="1521"/>
      <c r="D26" s="1522"/>
    </row>
    <row r="27" spans="2:4" ht="13" x14ac:dyDescent="0.3">
      <c r="B27" s="1447" t="s">
        <v>231</v>
      </c>
      <c r="C27" s="808" t="s">
        <v>232</v>
      </c>
      <c r="D27" s="1448" t="s">
        <v>1030</v>
      </c>
    </row>
    <row r="28" spans="2:4" x14ac:dyDescent="0.25">
      <c r="B28" s="1468" t="s">
        <v>1299</v>
      </c>
      <c r="C28" s="1204"/>
      <c r="D28" s="1467"/>
    </row>
    <row r="29" spans="2:4" x14ac:dyDescent="0.25">
      <c r="B29" s="1468">
        <v>43137</v>
      </c>
      <c r="C29" s="1204" t="s">
        <v>1300</v>
      </c>
      <c r="D29" s="1467" t="s">
        <v>1301</v>
      </c>
    </row>
    <row r="30" spans="2:4" x14ac:dyDescent="0.25">
      <c r="B30" s="1468"/>
      <c r="C30" s="1204"/>
      <c r="D30" s="1467"/>
    </row>
    <row r="31" spans="2:4" x14ac:dyDescent="0.25">
      <c r="B31" s="1468">
        <v>41442</v>
      </c>
      <c r="C31" s="1204" t="s">
        <v>1357</v>
      </c>
      <c r="D31" s="1467" t="s">
        <v>1358</v>
      </c>
    </row>
    <row r="32" spans="2:4" x14ac:dyDescent="0.25">
      <c r="B32" s="1468"/>
      <c r="C32" s="1204"/>
      <c r="D32" s="1467"/>
    </row>
    <row r="33" spans="2:4" x14ac:dyDescent="0.25">
      <c r="B33" s="1468">
        <v>40882</v>
      </c>
      <c r="C33" s="1204" t="s">
        <v>1361</v>
      </c>
      <c r="D33" s="1467" t="s">
        <v>1362</v>
      </c>
    </row>
    <row r="34" spans="2:4" x14ac:dyDescent="0.25">
      <c r="B34" s="1468" t="s">
        <v>1363</v>
      </c>
      <c r="C34" s="1204"/>
      <c r="D34" s="1467"/>
    </row>
    <row r="35" spans="2:4" x14ac:dyDescent="0.25">
      <c r="B35" s="1468">
        <v>39713</v>
      </c>
      <c r="C35" s="1204" t="s">
        <v>1361</v>
      </c>
      <c r="D35" s="1467" t="s">
        <v>831</v>
      </c>
    </row>
    <row r="36" spans="2:4" x14ac:dyDescent="0.25">
      <c r="B36" s="1468">
        <v>39591</v>
      </c>
      <c r="C36" s="1204" t="s">
        <v>1361</v>
      </c>
      <c r="D36" s="1467" t="s">
        <v>1364</v>
      </c>
    </row>
    <row r="37" spans="2:4" x14ac:dyDescent="0.25">
      <c r="B37" s="1468">
        <v>39521</v>
      </c>
      <c r="C37" s="1204" t="s">
        <v>1361</v>
      </c>
      <c r="D37" s="1467" t="s">
        <v>1362</v>
      </c>
    </row>
    <row r="38" spans="2:4" x14ac:dyDescent="0.25">
      <c r="B38" s="1468" t="s">
        <v>1365</v>
      </c>
      <c r="C38" s="1204"/>
      <c r="D38" s="1467"/>
    </row>
    <row r="39" spans="2:4" x14ac:dyDescent="0.25">
      <c r="B39" s="1468">
        <v>38875</v>
      </c>
      <c r="C39" s="1204" t="s">
        <v>1351</v>
      </c>
      <c r="D39" s="1467"/>
    </row>
    <row r="40" spans="2:4" x14ac:dyDescent="0.25">
      <c r="B40" s="1468">
        <v>38609</v>
      </c>
      <c r="C40" s="1204" t="s">
        <v>1366</v>
      </c>
      <c r="D40" s="1467"/>
    </row>
    <row r="41" spans="2:4" x14ac:dyDescent="0.25">
      <c r="B41" s="1468">
        <v>38530</v>
      </c>
      <c r="C41" s="1204" t="s">
        <v>1367</v>
      </c>
      <c r="D41" s="1467"/>
    </row>
    <row r="42" spans="2:4" x14ac:dyDescent="0.25">
      <c r="B42" s="1468">
        <v>38520</v>
      </c>
      <c r="C42" s="1204" t="s">
        <v>1368</v>
      </c>
      <c r="D42" s="1467"/>
    </row>
    <row r="43" spans="2:4" x14ac:dyDescent="0.25">
      <c r="B43" s="1468">
        <v>38406</v>
      </c>
      <c r="C43" s="1204" t="s">
        <v>1369</v>
      </c>
      <c r="D43" s="1467"/>
    </row>
    <row r="44" spans="2:4" ht="13" thickBot="1" x14ac:dyDescent="0.3">
      <c r="B44" s="1469">
        <v>38271</v>
      </c>
      <c r="C44" s="1466" t="s">
        <v>1368</v>
      </c>
      <c r="D44" s="1470"/>
    </row>
  </sheetData>
  <mergeCells count="1">
    <mergeCell ref="B26:D26"/>
  </mergeCells>
  <phoneticPr fontId="0" type="noConversion"/>
  <hyperlinks>
    <hyperlink ref="C9" r:id="rId1" xr:uid="{F8B944E2-635C-4C31-BB5D-07D882325051}"/>
    <hyperlink ref="C12" r:id="rId2" xr:uid="{FAA3332E-52DB-4203-AAFE-192BEDB8E9A9}"/>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6"/>
  <sheetViews>
    <sheetView workbookViewId="0">
      <selection activeCell="B24" sqref="B24"/>
    </sheetView>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408</v>
      </c>
    </row>
    <row r="6" spans="2:2" ht="13" x14ac:dyDescent="0.3">
      <c r="B6" s="783" t="s">
        <v>206</v>
      </c>
    </row>
    <row r="7" spans="2:2" ht="37.5" x14ac:dyDescent="0.25">
      <c r="B7" s="1268" t="s">
        <v>1376</v>
      </c>
    </row>
    <row r="8" spans="2:2" x14ac:dyDescent="0.25">
      <c r="B8" s="784"/>
    </row>
    <row r="9" spans="2:2" x14ac:dyDescent="0.25">
      <c r="B9" s="784"/>
    </row>
    <row r="10" spans="2:2" ht="13" x14ac:dyDescent="0.3">
      <c r="B10" s="785" t="s">
        <v>207</v>
      </c>
    </row>
    <row r="11" spans="2:2" ht="87.5" x14ac:dyDescent="0.25">
      <c r="B11" s="1471" t="s">
        <v>1377</v>
      </c>
    </row>
    <row r="12" spans="2:2" ht="50" x14ac:dyDescent="0.25">
      <c r="B12" s="1472" t="s">
        <v>1378</v>
      </c>
    </row>
    <row r="13" spans="2:2" x14ac:dyDescent="0.25">
      <c r="B13" s="784"/>
    </row>
    <row r="14" spans="2:2" ht="13" x14ac:dyDescent="0.3">
      <c r="B14" s="785" t="s">
        <v>208</v>
      </c>
    </row>
    <row r="15" spans="2:2" ht="25" x14ac:dyDescent="0.25">
      <c r="B15" s="1268" t="s">
        <v>1379</v>
      </c>
    </row>
    <row r="16" spans="2:2" x14ac:dyDescent="0.25">
      <c r="B16" s="784"/>
    </row>
    <row r="17" spans="2:2" x14ac:dyDescent="0.25">
      <c r="B17" s="784"/>
    </row>
    <row r="18" spans="2:2" ht="13" x14ac:dyDescent="0.3">
      <c r="B18" s="785" t="s">
        <v>209</v>
      </c>
    </row>
    <row r="19" spans="2:2" x14ac:dyDescent="0.25">
      <c r="B19" s="1268" t="s">
        <v>1380</v>
      </c>
    </row>
    <row r="20" spans="2:2" x14ac:dyDescent="0.25">
      <c r="B20" s="784"/>
    </row>
    <row r="21" spans="2:2" ht="13" x14ac:dyDescent="0.25">
      <c r="B21" s="786" t="s">
        <v>210</v>
      </c>
    </row>
    <row r="22" spans="2:2" x14ac:dyDescent="0.25">
      <c r="B22" s="994" t="s">
        <v>1381</v>
      </c>
    </row>
    <row r="23" spans="2:2" x14ac:dyDescent="0.25">
      <c r="B23" s="1268" t="s">
        <v>1382</v>
      </c>
    </row>
    <row r="24" spans="2:2" x14ac:dyDescent="0.25">
      <c r="B24" s="1268"/>
    </row>
    <row r="25" spans="2:2" x14ac:dyDescent="0.25">
      <c r="B25" s="1268"/>
    </row>
    <row r="26" spans="2:2" x14ac:dyDescent="0.25">
      <c r="B26" s="994"/>
    </row>
    <row r="29" spans="2:2" x14ac:dyDescent="0.25">
      <c r="B29" s="1268"/>
    </row>
    <row r="30" spans="2:2" x14ac:dyDescent="0.25">
      <c r="B30" s="1268"/>
    </row>
    <row r="31" spans="2:2" x14ac:dyDescent="0.25">
      <c r="B31" s="994"/>
    </row>
    <row r="76" ht="81" customHeight="1" x14ac:dyDescent="0.25"/>
    <row r="78" ht="97.5" customHeight="1" x14ac:dyDescent="0.25"/>
    <row r="80" ht="68.25" customHeight="1" x14ac:dyDescent="0.25"/>
    <row r="82" ht="63" customHeight="1" x14ac:dyDescent="0.25"/>
    <row r="84" ht="63.75" customHeight="1" x14ac:dyDescent="0.25"/>
    <row r="86" ht="3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G49"/>
  <sheetViews>
    <sheetView zoomScale="85" zoomScaleNormal="85" workbookViewId="0">
      <selection activeCell="B26" sqref="B26"/>
    </sheetView>
  </sheetViews>
  <sheetFormatPr defaultRowHeight="12.5" x14ac:dyDescent="0.25"/>
  <cols>
    <col min="2" max="2" width="125.26953125" customWidth="1"/>
    <col min="3" max="3" width="12" customWidth="1"/>
    <col min="4" max="4" width="13.81640625" customWidth="1"/>
    <col min="5" max="5" width="17.26953125" customWidth="1"/>
    <col min="6" max="6" width="16.7265625" customWidth="1"/>
    <col min="7" max="7" width="14.26953125" customWidth="1"/>
    <col min="13" max="13" width="38.81640625" customWidth="1"/>
    <col min="14" max="15" width="22.54296875" customWidth="1"/>
    <col min="16" max="16" width="44.453125" customWidth="1"/>
    <col min="254" max="254" width="10.1796875" customWidth="1"/>
    <col min="255" max="255" width="12" customWidth="1"/>
    <col min="256" max="256" width="17.81640625" customWidth="1"/>
    <col min="257" max="257" width="17.26953125" customWidth="1"/>
    <col min="258" max="259" width="31" customWidth="1"/>
    <col min="260" max="263" width="25.1796875" customWidth="1"/>
    <col min="510" max="510" width="10.1796875" customWidth="1"/>
    <col min="511" max="511" width="12" customWidth="1"/>
    <col min="512" max="512" width="17.81640625" customWidth="1"/>
    <col min="513" max="513" width="17.26953125" customWidth="1"/>
    <col min="514" max="515" width="31" customWidth="1"/>
    <col min="516" max="519" width="25.1796875" customWidth="1"/>
    <col min="766" max="766" width="10.1796875" customWidth="1"/>
    <col min="767" max="767" width="12" customWidth="1"/>
    <col min="768" max="768" width="17.81640625" customWidth="1"/>
    <col min="769" max="769" width="17.26953125" customWidth="1"/>
    <col min="770" max="771" width="31" customWidth="1"/>
    <col min="772" max="775" width="25.1796875" customWidth="1"/>
    <col min="1022" max="1022" width="10.1796875" customWidth="1"/>
    <col min="1023" max="1023" width="12" customWidth="1"/>
    <col min="1024" max="1024" width="17.81640625" customWidth="1"/>
    <col min="1025" max="1025" width="17.26953125" customWidth="1"/>
    <col min="1026" max="1027" width="31" customWidth="1"/>
    <col min="1028" max="1031" width="25.1796875" customWidth="1"/>
    <col min="1278" max="1278" width="10.1796875" customWidth="1"/>
    <col min="1279" max="1279" width="12" customWidth="1"/>
    <col min="1280" max="1280" width="17.81640625" customWidth="1"/>
    <col min="1281" max="1281" width="17.26953125" customWidth="1"/>
    <col min="1282" max="1283" width="31" customWidth="1"/>
    <col min="1284" max="1287" width="25.1796875" customWidth="1"/>
    <col min="1534" max="1534" width="10.1796875" customWidth="1"/>
    <col min="1535" max="1535" width="12" customWidth="1"/>
    <col min="1536" max="1536" width="17.81640625" customWidth="1"/>
    <col min="1537" max="1537" width="17.26953125" customWidth="1"/>
    <col min="1538" max="1539" width="31" customWidth="1"/>
    <col min="1540" max="1543" width="25.1796875" customWidth="1"/>
    <col min="1790" max="1790" width="10.1796875" customWidth="1"/>
    <col min="1791" max="1791" width="12" customWidth="1"/>
    <col min="1792" max="1792" width="17.81640625" customWidth="1"/>
    <col min="1793" max="1793" width="17.26953125" customWidth="1"/>
    <col min="1794" max="1795" width="31" customWidth="1"/>
    <col min="1796" max="1799" width="25.1796875" customWidth="1"/>
    <col min="2046" max="2046" width="10.1796875" customWidth="1"/>
    <col min="2047" max="2047" width="12" customWidth="1"/>
    <col min="2048" max="2048" width="17.81640625" customWidth="1"/>
    <col min="2049" max="2049" width="17.26953125" customWidth="1"/>
    <col min="2050" max="2051" width="31" customWidth="1"/>
    <col min="2052" max="2055" width="25.1796875" customWidth="1"/>
    <col min="2302" max="2302" width="10.1796875" customWidth="1"/>
    <col min="2303" max="2303" width="12" customWidth="1"/>
    <col min="2304" max="2304" width="17.81640625" customWidth="1"/>
    <col min="2305" max="2305" width="17.26953125" customWidth="1"/>
    <col min="2306" max="2307" width="31" customWidth="1"/>
    <col min="2308" max="2311" width="25.1796875" customWidth="1"/>
    <col min="2558" max="2558" width="10.1796875" customWidth="1"/>
    <col min="2559" max="2559" width="12" customWidth="1"/>
    <col min="2560" max="2560" width="17.81640625" customWidth="1"/>
    <col min="2561" max="2561" width="17.26953125" customWidth="1"/>
    <col min="2562" max="2563" width="31" customWidth="1"/>
    <col min="2564" max="2567" width="25.1796875" customWidth="1"/>
    <col min="2814" max="2814" width="10.1796875" customWidth="1"/>
    <col min="2815" max="2815" width="12" customWidth="1"/>
    <col min="2816" max="2816" width="17.81640625" customWidth="1"/>
    <col min="2817" max="2817" width="17.26953125" customWidth="1"/>
    <col min="2818" max="2819" width="31" customWidth="1"/>
    <col min="2820" max="2823" width="25.1796875" customWidth="1"/>
    <col min="3070" max="3070" width="10.1796875" customWidth="1"/>
    <col min="3071" max="3071" width="12" customWidth="1"/>
    <col min="3072" max="3072" width="17.81640625" customWidth="1"/>
    <col min="3073" max="3073" width="17.26953125" customWidth="1"/>
    <col min="3074" max="3075" width="31" customWidth="1"/>
    <col min="3076" max="3079" width="25.1796875" customWidth="1"/>
    <col min="3326" max="3326" width="10.1796875" customWidth="1"/>
    <col min="3327" max="3327" width="12" customWidth="1"/>
    <col min="3328" max="3328" width="17.81640625" customWidth="1"/>
    <col min="3329" max="3329" width="17.26953125" customWidth="1"/>
    <col min="3330" max="3331" width="31" customWidth="1"/>
    <col min="3332" max="3335" width="25.1796875" customWidth="1"/>
    <col min="3582" max="3582" width="10.1796875" customWidth="1"/>
    <col min="3583" max="3583" width="12" customWidth="1"/>
    <col min="3584" max="3584" width="17.81640625" customWidth="1"/>
    <col min="3585" max="3585" width="17.26953125" customWidth="1"/>
    <col min="3586" max="3587" width="31" customWidth="1"/>
    <col min="3588" max="3591" width="25.1796875" customWidth="1"/>
    <col min="3838" max="3838" width="10.1796875" customWidth="1"/>
    <col min="3839" max="3839" width="12" customWidth="1"/>
    <col min="3840" max="3840" width="17.81640625" customWidth="1"/>
    <col min="3841" max="3841" width="17.26953125" customWidth="1"/>
    <col min="3842" max="3843" width="31" customWidth="1"/>
    <col min="3844" max="3847" width="25.1796875" customWidth="1"/>
    <col min="4094" max="4094" width="10.1796875" customWidth="1"/>
    <col min="4095" max="4095" width="12" customWidth="1"/>
    <col min="4096" max="4096" width="17.81640625" customWidth="1"/>
    <col min="4097" max="4097" width="17.26953125" customWidth="1"/>
    <col min="4098" max="4099" width="31" customWidth="1"/>
    <col min="4100" max="4103" width="25.1796875" customWidth="1"/>
    <col min="4350" max="4350" width="10.1796875" customWidth="1"/>
    <col min="4351" max="4351" width="12" customWidth="1"/>
    <col min="4352" max="4352" width="17.81640625" customWidth="1"/>
    <col min="4353" max="4353" width="17.26953125" customWidth="1"/>
    <col min="4354" max="4355" width="31" customWidth="1"/>
    <col min="4356" max="4359" width="25.1796875" customWidth="1"/>
    <col min="4606" max="4606" width="10.1796875" customWidth="1"/>
    <col min="4607" max="4607" width="12" customWidth="1"/>
    <col min="4608" max="4608" width="17.81640625" customWidth="1"/>
    <col min="4609" max="4609" width="17.26953125" customWidth="1"/>
    <col min="4610" max="4611" width="31" customWidth="1"/>
    <col min="4612" max="4615" width="25.1796875" customWidth="1"/>
    <col min="4862" max="4862" width="10.1796875" customWidth="1"/>
    <col min="4863" max="4863" width="12" customWidth="1"/>
    <col min="4864" max="4864" width="17.81640625" customWidth="1"/>
    <col min="4865" max="4865" width="17.26953125" customWidth="1"/>
    <col min="4866" max="4867" width="31" customWidth="1"/>
    <col min="4868" max="4871" width="25.1796875" customWidth="1"/>
    <col min="5118" max="5118" width="10.1796875" customWidth="1"/>
    <col min="5119" max="5119" width="12" customWidth="1"/>
    <col min="5120" max="5120" width="17.81640625" customWidth="1"/>
    <col min="5121" max="5121" width="17.26953125" customWidth="1"/>
    <col min="5122" max="5123" width="31" customWidth="1"/>
    <col min="5124" max="5127" width="25.1796875" customWidth="1"/>
    <col min="5374" max="5374" width="10.1796875" customWidth="1"/>
    <col min="5375" max="5375" width="12" customWidth="1"/>
    <col min="5376" max="5376" width="17.81640625" customWidth="1"/>
    <col min="5377" max="5377" width="17.26953125" customWidth="1"/>
    <col min="5378" max="5379" width="31" customWidth="1"/>
    <col min="5380" max="5383" width="25.1796875" customWidth="1"/>
    <col min="5630" max="5630" width="10.1796875" customWidth="1"/>
    <col min="5631" max="5631" width="12" customWidth="1"/>
    <col min="5632" max="5632" width="17.81640625" customWidth="1"/>
    <col min="5633" max="5633" width="17.26953125" customWidth="1"/>
    <col min="5634" max="5635" width="31" customWidth="1"/>
    <col min="5636" max="5639" width="25.1796875" customWidth="1"/>
    <col min="5886" max="5886" width="10.1796875" customWidth="1"/>
    <col min="5887" max="5887" width="12" customWidth="1"/>
    <col min="5888" max="5888" width="17.81640625" customWidth="1"/>
    <col min="5889" max="5889" width="17.26953125" customWidth="1"/>
    <col min="5890" max="5891" width="31" customWidth="1"/>
    <col min="5892" max="5895" width="25.1796875" customWidth="1"/>
    <col min="6142" max="6142" width="10.1796875" customWidth="1"/>
    <col min="6143" max="6143" width="12" customWidth="1"/>
    <col min="6144" max="6144" width="17.81640625" customWidth="1"/>
    <col min="6145" max="6145" width="17.26953125" customWidth="1"/>
    <col min="6146" max="6147" width="31" customWidth="1"/>
    <col min="6148" max="6151" width="25.1796875" customWidth="1"/>
    <col min="6398" max="6398" width="10.1796875" customWidth="1"/>
    <col min="6399" max="6399" width="12" customWidth="1"/>
    <col min="6400" max="6400" width="17.81640625" customWidth="1"/>
    <col min="6401" max="6401" width="17.26953125" customWidth="1"/>
    <col min="6402" max="6403" width="31" customWidth="1"/>
    <col min="6404" max="6407" width="25.1796875" customWidth="1"/>
    <col min="6654" max="6654" width="10.1796875" customWidth="1"/>
    <col min="6655" max="6655" width="12" customWidth="1"/>
    <col min="6656" max="6656" width="17.81640625" customWidth="1"/>
    <col min="6657" max="6657" width="17.26953125" customWidth="1"/>
    <col min="6658" max="6659" width="31" customWidth="1"/>
    <col min="6660" max="6663" width="25.1796875" customWidth="1"/>
    <col min="6910" max="6910" width="10.1796875" customWidth="1"/>
    <col min="6911" max="6911" width="12" customWidth="1"/>
    <col min="6912" max="6912" width="17.81640625" customWidth="1"/>
    <col min="6913" max="6913" width="17.26953125" customWidth="1"/>
    <col min="6914" max="6915" width="31" customWidth="1"/>
    <col min="6916" max="6919" width="25.1796875" customWidth="1"/>
    <col min="7166" max="7166" width="10.1796875" customWidth="1"/>
    <col min="7167" max="7167" width="12" customWidth="1"/>
    <col min="7168" max="7168" width="17.81640625" customWidth="1"/>
    <col min="7169" max="7169" width="17.26953125" customWidth="1"/>
    <col min="7170" max="7171" width="31" customWidth="1"/>
    <col min="7172" max="7175" width="25.1796875" customWidth="1"/>
    <col min="7422" max="7422" width="10.1796875" customWidth="1"/>
    <col min="7423" max="7423" width="12" customWidth="1"/>
    <col min="7424" max="7424" width="17.81640625" customWidth="1"/>
    <col min="7425" max="7425" width="17.26953125" customWidth="1"/>
    <col min="7426" max="7427" width="31" customWidth="1"/>
    <col min="7428" max="7431" width="25.1796875" customWidth="1"/>
    <col min="7678" max="7678" width="10.1796875" customWidth="1"/>
    <col min="7679" max="7679" width="12" customWidth="1"/>
    <col min="7680" max="7680" width="17.81640625" customWidth="1"/>
    <col min="7681" max="7681" width="17.26953125" customWidth="1"/>
    <col min="7682" max="7683" width="31" customWidth="1"/>
    <col min="7684" max="7687" width="25.1796875" customWidth="1"/>
    <col min="7934" max="7934" width="10.1796875" customWidth="1"/>
    <col min="7935" max="7935" width="12" customWidth="1"/>
    <col min="7936" max="7936" width="17.81640625" customWidth="1"/>
    <col min="7937" max="7937" width="17.26953125" customWidth="1"/>
    <col min="7938" max="7939" width="31" customWidth="1"/>
    <col min="7940" max="7943" width="25.1796875" customWidth="1"/>
    <col min="8190" max="8190" width="10.1796875" customWidth="1"/>
    <col min="8191" max="8191" width="12" customWidth="1"/>
    <col min="8192" max="8192" width="17.81640625" customWidth="1"/>
    <col min="8193" max="8193" width="17.26953125" customWidth="1"/>
    <col min="8194" max="8195" width="31" customWidth="1"/>
    <col min="8196" max="8199" width="25.1796875" customWidth="1"/>
    <col min="8446" max="8446" width="10.1796875" customWidth="1"/>
    <col min="8447" max="8447" width="12" customWidth="1"/>
    <col min="8448" max="8448" width="17.81640625" customWidth="1"/>
    <col min="8449" max="8449" width="17.26953125" customWidth="1"/>
    <col min="8450" max="8451" width="31" customWidth="1"/>
    <col min="8452" max="8455" width="25.1796875" customWidth="1"/>
    <col min="8702" max="8702" width="10.1796875" customWidth="1"/>
    <col min="8703" max="8703" width="12" customWidth="1"/>
    <col min="8704" max="8704" width="17.81640625" customWidth="1"/>
    <col min="8705" max="8705" width="17.26953125" customWidth="1"/>
    <col min="8706" max="8707" width="31" customWidth="1"/>
    <col min="8708" max="8711" width="25.1796875" customWidth="1"/>
    <col min="8958" max="8958" width="10.1796875" customWidth="1"/>
    <col min="8959" max="8959" width="12" customWidth="1"/>
    <col min="8960" max="8960" width="17.81640625" customWidth="1"/>
    <col min="8961" max="8961" width="17.26953125" customWidth="1"/>
    <col min="8962" max="8963" width="31" customWidth="1"/>
    <col min="8964" max="8967" width="25.1796875" customWidth="1"/>
    <col min="9214" max="9214" width="10.1796875" customWidth="1"/>
    <col min="9215" max="9215" width="12" customWidth="1"/>
    <col min="9216" max="9216" width="17.81640625" customWidth="1"/>
    <col min="9217" max="9217" width="17.26953125" customWidth="1"/>
    <col min="9218" max="9219" width="31" customWidth="1"/>
    <col min="9220" max="9223" width="25.1796875" customWidth="1"/>
    <col min="9470" max="9470" width="10.1796875" customWidth="1"/>
    <col min="9471" max="9471" width="12" customWidth="1"/>
    <col min="9472" max="9472" width="17.81640625" customWidth="1"/>
    <col min="9473" max="9473" width="17.26953125" customWidth="1"/>
    <col min="9474" max="9475" width="31" customWidth="1"/>
    <col min="9476" max="9479" width="25.1796875" customWidth="1"/>
    <col min="9726" max="9726" width="10.1796875" customWidth="1"/>
    <col min="9727" max="9727" width="12" customWidth="1"/>
    <col min="9728" max="9728" width="17.81640625" customWidth="1"/>
    <col min="9729" max="9729" width="17.26953125" customWidth="1"/>
    <col min="9730" max="9731" width="31" customWidth="1"/>
    <col min="9732" max="9735" width="25.1796875" customWidth="1"/>
    <col min="9982" max="9982" width="10.1796875" customWidth="1"/>
    <col min="9983" max="9983" width="12" customWidth="1"/>
    <col min="9984" max="9984" width="17.81640625" customWidth="1"/>
    <col min="9985" max="9985" width="17.26953125" customWidth="1"/>
    <col min="9986" max="9987" width="31" customWidth="1"/>
    <col min="9988" max="9991" width="25.1796875" customWidth="1"/>
    <col min="10238" max="10238" width="10.1796875" customWidth="1"/>
    <col min="10239" max="10239" width="12" customWidth="1"/>
    <col min="10240" max="10240" width="17.81640625" customWidth="1"/>
    <col min="10241" max="10241" width="17.26953125" customWidth="1"/>
    <col min="10242" max="10243" width="31" customWidth="1"/>
    <col min="10244" max="10247" width="25.1796875" customWidth="1"/>
    <col min="10494" max="10494" width="10.1796875" customWidth="1"/>
    <col min="10495" max="10495" width="12" customWidth="1"/>
    <col min="10496" max="10496" width="17.81640625" customWidth="1"/>
    <col min="10497" max="10497" width="17.26953125" customWidth="1"/>
    <col min="10498" max="10499" width="31" customWidth="1"/>
    <col min="10500" max="10503" width="25.1796875" customWidth="1"/>
    <col min="10750" max="10750" width="10.1796875" customWidth="1"/>
    <col min="10751" max="10751" width="12" customWidth="1"/>
    <col min="10752" max="10752" width="17.81640625" customWidth="1"/>
    <col min="10753" max="10753" width="17.26953125" customWidth="1"/>
    <col min="10754" max="10755" width="31" customWidth="1"/>
    <col min="10756" max="10759" width="25.1796875" customWidth="1"/>
    <col min="11006" max="11006" width="10.1796875" customWidth="1"/>
    <col min="11007" max="11007" width="12" customWidth="1"/>
    <col min="11008" max="11008" width="17.81640625" customWidth="1"/>
    <col min="11009" max="11009" width="17.26953125" customWidth="1"/>
    <col min="11010" max="11011" width="31" customWidth="1"/>
    <col min="11012" max="11015" width="25.1796875" customWidth="1"/>
    <col min="11262" max="11262" width="10.1796875" customWidth="1"/>
    <col min="11263" max="11263" width="12" customWidth="1"/>
    <col min="11264" max="11264" width="17.81640625" customWidth="1"/>
    <col min="11265" max="11265" width="17.26953125" customWidth="1"/>
    <col min="11266" max="11267" width="31" customWidth="1"/>
    <col min="11268" max="11271" width="25.1796875" customWidth="1"/>
    <col min="11518" max="11518" width="10.1796875" customWidth="1"/>
    <col min="11519" max="11519" width="12" customWidth="1"/>
    <col min="11520" max="11520" width="17.81640625" customWidth="1"/>
    <col min="11521" max="11521" width="17.26953125" customWidth="1"/>
    <col min="11522" max="11523" width="31" customWidth="1"/>
    <col min="11524" max="11527" width="25.1796875" customWidth="1"/>
    <col min="11774" max="11774" width="10.1796875" customWidth="1"/>
    <col min="11775" max="11775" width="12" customWidth="1"/>
    <col min="11776" max="11776" width="17.81640625" customWidth="1"/>
    <col min="11777" max="11777" width="17.26953125" customWidth="1"/>
    <col min="11778" max="11779" width="31" customWidth="1"/>
    <col min="11780" max="11783" width="25.1796875" customWidth="1"/>
    <col min="12030" max="12030" width="10.1796875" customWidth="1"/>
    <col min="12031" max="12031" width="12" customWidth="1"/>
    <col min="12032" max="12032" width="17.81640625" customWidth="1"/>
    <col min="12033" max="12033" width="17.26953125" customWidth="1"/>
    <col min="12034" max="12035" width="31" customWidth="1"/>
    <col min="12036" max="12039" width="25.1796875" customWidth="1"/>
    <col min="12286" max="12286" width="10.1796875" customWidth="1"/>
    <col min="12287" max="12287" width="12" customWidth="1"/>
    <col min="12288" max="12288" width="17.81640625" customWidth="1"/>
    <col min="12289" max="12289" width="17.26953125" customWidth="1"/>
    <col min="12290" max="12291" width="31" customWidth="1"/>
    <col min="12292" max="12295" width="25.1796875" customWidth="1"/>
    <col min="12542" max="12542" width="10.1796875" customWidth="1"/>
    <col min="12543" max="12543" width="12" customWidth="1"/>
    <col min="12544" max="12544" width="17.81640625" customWidth="1"/>
    <col min="12545" max="12545" width="17.26953125" customWidth="1"/>
    <col min="12546" max="12547" width="31" customWidth="1"/>
    <col min="12548" max="12551" width="25.1796875" customWidth="1"/>
    <col min="12798" max="12798" width="10.1796875" customWidth="1"/>
    <col min="12799" max="12799" width="12" customWidth="1"/>
    <col min="12800" max="12800" width="17.81640625" customWidth="1"/>
    <col min="12801" max="12801" width="17.26953125" customWidth="1"/>
    <col min="12802" max="12803" width="31" customWidth="1"/>
    <col min="12804" max="12807" width="25.1796875" customWidth="1"/>
    <col min="13054" max="13054" width="10.1796875" customWidth="1"/>
    <col min="13055" max="13055" width="12" customWidth="1"/>
    <col min="13056" max="13056" width="17.81640625" customWidth="1"/>
    <col min="13057" max="13057" width="17.26953125" customWidth="1"/>
    <col min="13058" max="13059" width="31" customWidth="1"/>
    <col min="13060" max="13063" width="25.1796875" customWidth="1"/>
    <col min="13310" max="13310" width="10.1796875" customWidth="1"/>
    <col min="13311" max="13311" width="12" customWidth="1"/>
    <col min="13312" max="13312" width="17.81640625" customWidth="1"/>
    <col min="13313" max="13313" width="17.26953125" customWidth="1"/>
    <col min="13314" max="13315" width="31" customWidth="1"/>
    <col min="13316" max="13319" width="25.1796875" customWidth="1"/>
    <col min="13566" max="13566" width="10.1796875" customWidth="1"/>
    <col min="13567" max="13567" width="12" customWidth="1"/>
    <col min="13568" max="13568" width="17.81640625" customWidth="1"/>
    <col min="13569" max="13569" width="17.26953125" customWidth="1"/>
    <col min="13570" max="13571" width="31" customWidth="1"/>
    <col min="13572" max="13575" width="25.1796875" customWidth="1"/>
    <col min="13822" max="13822" width="10.1796875" customWidth="1"/>
    <col min="13823" max="13823" width="12" customWidth="1"/>
    <col min="13824" max="13824" width="17.81640625" customWidth="1"/>
    <col min="13825" max="13825" width="17.26953125" customWidth="1"/>
    <col min="13826" max="13827" width="31" customWidth="1"/>
    <col min="13828" max="13831" width="25.1796875" customWidth="1"/>
    <col min="14078" max="14078" width="10.1796875" customWidth="1"/>
    <col min="14079" max="14079" width="12" customWidth="1"/>
    <col min="14080" max="14080" width="17.81640625" customWidth="1"/>
    <col min="14081" max="14081" width="17.26953125" customWidth="1"/>
    <col min="14082" max="14083" width="31" customWidth="1"/>
    <col min="14084" max="14087" width="25.1796875" customWidth="1"/>
    <col min="14334" max="14334" width="10.1796875" customWidth="1"/>
    <col min="14335" max="14335" width="12" customWidth="1"/>
    <col min="14336" max="14336" width="17.81640625" customWidth="1"/>
    <col min="14337" max="14337" width="17.26953125" customWidth="1"/>
    <col min="14338" max="14339" width="31" customWidth="1"/>
    <col min="14340" max="14343" width="25.1796875" customWidth="1"/>
    <col min="14590" max="14590" width="10.1796875" customWidth="1"/>
    <col min="14591" max="14591" width="12" customWidth="1"/>
    <col min="14592" max="14592" width="17.81640625" customWidth="1"/>
    <col min="14593" max="14593" width="17.26953125" customWidth="1"/>
    <col min="14594" max="14595" width="31" customWidth="1"/>
    <col min="14596" max="14599" width="25.1796875" customWidth="1"/>
    <col min="14846" max="14846" width="10.1796875" customWidth="1"/>
    <col min="14847" max="14847" width="12" customWidth="1"/>
    <col min="14848" max="14848" width="17.81640625" customWidth="1"/>
    <col min="14849" max="14849" width="17.26953125" customWidth="1"/>
    <col min="14850" max="14851" width="31" customWidth="1"/>
    <col min="14852" max="14855" width="25.1796875" customWidth="1"/>
    <col min="15102" max="15102" width="10.1796875" customWidth="1"/>
    <col min="15103" max="15103" width="12" customWidth="1"/>
    <col min="15104" max="15104" width="17.81640625" customWidth="1"/>
    <col min="15105" max="15105" width="17.26953125" customWidth="1"/>
    <col min="15106" max="15107" width="31" customWidth="1"/>
    <col min="15108" max="15111" width="25.1796875" customWidth="1"/>
    <col min="15358" max="15358" width="10.1796875" customWidth="1"/>
    <col min="15359" max="15359" width="12" customWidth="1"/>
    <col min="15360" max="15360" width="17.81640625" customWidth="1"/>
    <col min="15361" max="15361" width="17.26953125" customWidth="1"/>
    <col min="15362" max="15363" width="31" customWidth="1"/>
    <col min="15364" max="15367" width="25.1796875" customWidth="1"/>
    <col min="15614" max="15614" width="10.1796875" customWidth="1"/>
    <col min="15615" max="15615" width="12" customWidth="1"/>
    <col min="15616" max="15616" width="17.81640625" customWidth="1"/>
    <col min="15617" max="15617" width="17.26953125" customWidth="1"/>
    <col min="15618" max="15619" width="31" customWidth="1"/>
    <col min="15620" max="15623" width="25.1796875" customWidth="1"/>
    <col min="15870" max="15870" width="10.1796875" customWidth="1"/>
    <col min="15871" max="15871" width="12" customWidth="1"/>
    <col min="15872" max="15872" width="17.81640625" customWidth="1"/>
    <col min="15873" max="15873" width="17.26953125" customWidth="1"/>
    <col min="15874" max="15875" width="31" customWidth="1"/>
    <col min="15876" max="15879" width="25.1796875" customWidth="1"/>
    <col min="16126" max="16126" width="10.1796875" customWidth="1"/>
    <col min="16127" max="16127" width="12" customWidth="1"/>
    <col min="16128" max="16128" width="17.81640625" customWidth="1"/>
    <col min="16129" max="16129" width="17.26953125" customWidth="1"/>
    <col min="16130" max="16131" width="31" customWidth="1"/>
    <col min="16132" max="16135" width="25.1796875" customWidth="1"/>
  </cols>
  <sheetData>
    <row r="2" spans="2:7" ht="22" x14ac:dyDescent="0.65">
      <c r="B2" s="782" t="s">
        <v>409</v>
      </c>
    </row>
    <row r="6" spans="2:7" ht="13" x14ac:dyDescent="0.3">
      <c r="B6" s="783" t="s">
        <v>204</v>
      </c>
    </row>
    <row r="7" spans="2:7" x14ac:dyDescent="0.25">
      <c r="B7" s="1268"/>
    </row>
    <row r="8" spans="2:7" ht="13" thickBot="1" x14ac:dyDescent="0.3">
      <c r="B8" s="784"/>
    </row>
    <row r="9" spans="2:7" ht="78.5" thickBot="1" x14ac:dyDescent="0.3">
      <c r="B9" s="784"/>
      <c r="D9" s="1473" t="s">
        <v>1383</v>
      </c>
      <c r="E9" s="1474" t="s">
        <v>1092</v>
      </c>
      <c r="F9" s="1474" t="s">
        <v>1384</v>
      </c>
      <c r="G9" s="1475" t="s">
        <v>1385</v>
      </c>
    </row>
    <row r="10" spans="2:7" ht="87.5" x14ac:dyDescent="0.25">
      <c r="B10" s="784"/>
      <c r="D10" s="1476" t="s">
        <v>1386</v>
      </c>
      <c r="E10" s="1477">
        <v>0.82</v>
      </c>
      <c r="F10" s="1478" t="s">
        <v>1387</v>
      </c>
      <c r="G10" s="1479" t="s">
        <v>1388</v>
      </c>
    </row>
    <row r="11" spans="2:7" ht="37.5" x14ac:dyDescent="0.25">
      <c r="B11" s="784"/>
      <c r="D11" s="1480" t="s">
        <v>1389</v>
      </c>
      <c r="E11" s="1481">
        <v>0.9</v>
      </c>
      <c r="F11" s="1482" t="s">
        <v>1390</v>
      </c>
      <c r="G11" s="1479" t="s">
        <v>1391</v>
      </c>
    </row>
    <row r="12" spans="2:7" ht="37.5" x14ac:dyDescent="0.25">
      <c r="B12" s="784"/>
      <c r="D12" s="1480" t="s">
        <v>1392</v>
      </c>
      <c r="E12" s="1481">
        <v>0.8</v>
      </c>
      <c r="F12" s="1482" t="s">
        <v>1393</v>
      </c>
      <c r="G12" s="1479" t="s">
        <v>1394</v>
      </c>
    </row>
    <row r="13" spans="2:7" x14ac:dyDescent="0.25">
      <c r="B13" s="784"/>
    </row>
    <row r="14" spans="2:7" x14ac:dyDescent="0.25">
      <c r="B14" s="784"/>
    </row>
    <row r="15" spans="2:7" x14ac:dyDescent="0.25">
      <c r="B15" s="784"/>
    </row>
    <row r="16" spans="2:7" x14ac:dyDescent="0.25">
      <c r="B16" s="784"/>
    </row>
    <row r="17" spans="2:7" x14ac:dyDescent="0.25">
      <c r="B17" s="784"/>
    </row>
    <row r="18" spans="2:7" x14ac:dyDescent="0.25">
      <c r="B18" s="784"/>
    </row>
    <row r="19" spans="2:7" x14ac:dyDescent="0.25">
      <c r="B19" s="784"/>
    </row>
    <row r="20" spans="2:7" x14ac:dyDescent="0.25">
      <c r="B20" s="784"/>
    </row>
    <row r="21" spans="2:7" x14ac:dyDescent="0.25">
      <c r="B21" s="784"/>
    </row>
    <row r="22" spans="2:7" x14ac:dyDescent="0.25">
      <c r="B22" s="784"/>
    </row>
    <row r="23" spans="2:7" x14ac:dyDescent="0.25">
      <c r="B23" s="784"/>
    </row>
    <row r="24" spans="2:7" x14ac:dyDescent="0.25">
      <c r="B24" s="784"/>
    </row>
    <row r="25" spans="2:7" x14ac:dyDescent="0.25">
      <c r="B25" s="784"/>
    </row>
    <row r="26" spans="2:7" x14ac:dyDescent="0.25">
      <c r="B26" s="784"/>
    </row>
    <row r="27" spans="2:7" x14ac:dyDescent="0.25">
      <c r="B27" s="784"/>
    </row>
    <row r="28" spans="2:7" x14ac:dyDescent="0.25">
      <c r="B28" s="784"/>
    </row>
    <row r="29" spans="2:7" ht="13" x14ac:dyDescent="0.3">
      <c r="B29" s="785" t="s">
        <v>205</v>
      </c>
    </row>
    <row r="30" spans="2:7" ht="13" thickBot="1" x14ac:dyDescent="0.3">
      <c r="B30" s="1268"/>
    </row>
    <row r="31" spans="2:7" ht="13.5" thickBot="1" x14ac:dyDescent="0.35">
      <c r="B31" s="1483" t="s">
        <v>1395</v>
      </c>
      <c r="C31" s="1484">
        <v>1</v>
      </c>
      <c r="D31" s="1484">
        <v>2</v>
      </c>
      <c r="E31" s="1484">
        <v>3</v>
      </c>
      <c r="F31" s="1484">
        <v>4</v>
      </c>
      <c r="G31" s="1484">
        <v>5</v>
      </c>
    </row>
    <row r="32" spans="2:7" ht="13" x14ac:dyDescent="0.3">
      <c r="B32" s="1485"/>
      <c r="C32" s="1486" t="s">
        <v>1396</v>
      </c>
      <c r="D32" s="1486" t="s">
        <v>1088</v>
      </c>
      <c r="E32" s="1486" t="s">
        <v>1397</v>
      </c>
      <c r="F32" s="1486" t="s">
        <v>872</v>
      </c>
      <c r="G32" s="1486" t="s">
        <v>1398</v>
      </c>
    </row>
    <row r="33" spans="2:7" x14ac:dyDescent="0.25">
      <c r="B33" s="1487" t="s">
        <v>1399</v>
      </c>
      <c r="C33" s="1487" t="s">
        <v>1400</v>
      </c>
      <c r="D33" s="1487" t="s">
        <v>1400</v>
      </c>
      <c r="E33" s="1487" t="s">
        <v>1400</v>
      </c>
      <c r="F33" s="1487" t="s">
        <v>1400</v>
      </c>
      <c r="G33" s="1487" t="s">
        <v>1400</v>
      </c>
    </row>
    <row r="34" spans="2:7" x14ac:dyDescent="0.25">
      <c r="B34" s="1487" t="s">
        <v>1401</v>
      </c>
      <c r="C34" s="1488">
        <v>0</v>
      </c>
      <c r="D34" s="1488">
        <v>0</v>
      </c>
      <c r="E34" s="1488">
        <v>9.2999999999999992E-3</v>
      </c>
      <c r="F34" s="1488">
        <v>0</v>
      </c>
      <c r="G34" s="1488">
        <v>7.27519E-3</v>
      </c>
    </row>
    <row r="35" spans="2:7" x14ac:dyDescent="0.25">
      <c r="B35" s="1487" t="s">
        <v>1402</v>
      </c>
      <c r="C35" s="1488">
        <v>0.9</v>
      </c>
      <c r="D35" s="1488">
        <v>0</v>
      </c>
      <c r="E35" s="1488">
        <v>0</v>
      </c>
      <c r="F35" s="1488">
        <v>0</v>
      </c>
      <c r="G35" s="1488">
        <v>0</v>
      </c>
    </row>
    <row r="36" spans="2:7" x14ac:dyDescent="0.25">
      <c r="B36" s="1487" t="s">
        <v>1403</v>
      </c>
      <c r="C36" s="1488">
        <v>0.05</v>
      </c>
      <c r="D36" s="1488">
        <v>0</v>
      </c>
      <c r="E36" s="1488">
        <v>0</v>
      </c>
      <c r="F36" s="1488">
        <v>0</v>
      </c>
      <c r="G36" s="1488">
        <v>0</v>
      </c>
    </row>
    <row r="37" spans="2:7" x14ac:dyDescent="0.25">
      <c r="B37" s="1487" t="s">
        <v>1404</v>
      </c>
      <c r="C37" s="1488">
        <v>0</v>
      </c>
      <c r="D37" s="1488">
        <v>0</v>
      </c>
      <c r="E37" s="1488">
        <v>4.0000000000000002E-4</v>
      </c>
      <c r="F37" s="1488">
        <v>1.3086300000000001E-3</v>
      </c>
      <c r="G37" s="1488">
        <v>0.16765189999999999</v>
      </c>
    </row>
    <row r="38" spans="2:7" x14ac:dyDescent="0.25">
      <c r="B38" s="1487" t="s">
        <v>1405</v>
      </c>
      <c r="C38" s="1488">
        <v>0</v>
      </c>
      <c r="D38" s="1488">
        <v>0</v>
      </c>
      <c r="E38" s="1488">
        <v>0</v>
      </c>
      <c r="F38" s="1488">
        <v>0.99471929999999997</v>
      </c>
      <c r="G38" s="1488">
        <v>0</v>
      </c>
    </row>
    <row r="39" spans="2:7" x14ac:dyDescent="0.25">
      <c r="B39" s="1487" t="s">
        <v>1406</v>
      </c>
      <c r="C39" s="1488">
        <v>0</v>
      </c>
      <c r="D39" s="1488">
        <v>1</v>
      </c>
      <c r="E39" s="1488">
        <v>1.01E-2</v>
      </c>
      <c r="F39" s="1488">
        <v>0</v>
      </c>
      <c r="G39" s="1488">
        <v>0.18346290000000001</v>
      </c>
    </row>
    <row r="40" spans="2:7" x14ac:dyDescent="0.25">
      <c r="B40" s="1487" t="s">
        <v>1407</v>
      </c>
      <c r="C40" s="1488">
        <v>0.05</v>
      </c>
      <c r="D40" s="1488">
        <v>0</v>
      </c>
      <c r="E40" s="1488">
        <v>0.77239999999999998</v>
      </c>
      <c r="F40" s="1488">
        <v>3.9720399999999996E-3</v>
      </c>
      <c r="G40" s="1488">
        <v>0.61154430000000004</v>
      </c>
    </row>
    <row r="41" spans="2:7" x14ac:dyDescent="0.25">
      <c r="B41" s="1487" t="s">
        <v>1408</v>
      </c>
      <c r="C41" s="1488">
        <v>0</v>
      </c>
      <c r="D41" s="1488">
        <v>0</v>
      </c>
      <c r="E41" s="1488">
        <v>0.20780000000000001</v>
      </c>
      <c r="F41" s="1488">
        <v>0</v>
      </c>
      <c r="G41" s="1488">
        <v>3.0065700000000001E-2</v>
      </c>
    </row>
    <row r="42" spans="2:7" x14ac:dyDescent="0.25">
      <c r="B42" s="1487"/>
      <c r="C42" s="1488"/>
      <c r="D42" s="1488"/>
      <c r="E42" s="1488"/>
      <c r="F42" s="1488"/>
      <c r="G42" s="1488"/>
    </row>
    <row r="43" spans="2:7" x14ac:dyDescent="0.25">
      <c r="B43" s="1487" t="s">
        <v>1409</v>
      </c>
      <c r="C43" s="1489" t="s">
        <v>1410</v>
      </c>
      <c r="D43" s="1489" t="s">
        <v>1410</v>
      </c>
      <c r="E43" s="1489" t="s">
        <v>1410</v>
      </c>
      <c r="F43" s="1489" t="s">
        <v>1410</v>
      </c>
      <c r="G43" s="1488" t="s">
        <v>1411</v>
      </c>
    </row>
    <row r="44" spans="2:7" x14ac:dyDescent="0.25">
      <c r="B44" s="1487"/>
      <c r="C44" s="1488"/>
      <c r="D44" s="1488"/>
      <c r="E44" s="1488"/>
      <c r="F44" s="1488"/>
      <c r="G44" s="1488"/>
    </row>
    <row r="45" spans="2:7" x14ac:dyDescent="0.25">
      <c r="B45" s="1487" t="s">
        <v>1412</v>
      </c>
      <c r="C45" s="1490">
        <v>6980.5</v>
      </c>
      <c r="D45" s="1490">
        <v>24431.75</v>
      </c>
      <c r="E45" s="1490">
        <v>29489.45</v>
      </c>
      <c r="F45" s="1490">
        <v>16102.31</v>
      </c>
      <c r="G45" s="1490">
        <v>37696.85</v>
      </c>
    </row>
    <row r="46" spans="2:7" x14ac:dyDescent="0.25">
      <c r="B46" s="1487" t="s">
        <v>1413</v>
      </c>
      <c r="C46" s="1490">
        <v>121060</v>
      </c>
      <c r="D46" s="1490">
        <v>440145</v>
      </c>
      <c r="E46" s="1490">
        <v>851008</v>
      </c>
      <c r="F46" s="1490">
        <v>35008</v>
      </c>
      <c r="G46" s="1490">
        <v>1095760</v>
      </c>
    </row>
    <row r="47" spans="2:7" x14ac:dyDescent="0.25">
      <c r="B47" s="1487"/>
      <c r="C47" s="1490"/>
      <c r="D47" s="1490"/>
      <c r="E47" s="1490"/>
      <c r="F47" s="1490"/>
      <c r="G47" s="1490"/>
    </row>
    <row r="48" spans="2:7" x14ac:dyDescent="0.25">
      <c r="B48" s="1487" t="s">
        <v>1414</v>
      </c>
      <c r="C48" s="1491">
        <v>59</v>
      </c>
      <c r="D48" s="1491">
        <v>750</v>
      </c>
      <c r="E48" s="1491">
        <v>60</v>
      </c>
      <c r="F48" s="1491">
        <v>108</v>
      </c>
      <c r="G48" s="1491">
        <v>280.04079999999999</v>
      </c>
    </row>
    <row r="49" spans="2:7" ht="13" thickBot="1" x14ac:dyDescent="0.3">
      <c r="B49" s="1492" t="s">
        <v>1415</v>
      </c>
      <c r="C49" s="1493">
        <v>450</v>
      </c>
      <c r="D49" s="1493">
        <v>450</v>
      </c>
      <c r="E49" s="1493">
        <v>14.696</v>
      </c>
      <c r="F49" s="1493">
        <v>346</v>
      </c>
      <c r="G49" s="1493">
        <v>14.7</v>
      </c>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5"/>
  <sheetViews>
    <sheetView zoomScale="85" zoomScaleNormal="85" workbookViewId="0">
      <pane ySplit="7" topLeftCell="A23" activePane="bottomLeft" state="frozen"/>
      <selection pane="bottomLeft" activeCell="E37" sqref="E37:G37"/>
    </sheetView>
  </sheetViews>
  <sheetFormatPr defaultColWidth="9.1796875" defaultRowHeight="12.5" x14ac:dyDescent="0.25"/>
  <cols>
    <col min="1" max="1" width="4.453125" style="464" customWidth="1"/>
    <col min="2" max="2" width="62.81640625" style="29" customWidth="1"/>
    <col min="3" max="3" width="21.1796875" style="29" customWidth="1"/>
    <col min="4" max="4" width="20.1796875" style="29" customWidth="1"/>
    <col min="5" max="5" width="24.26953125" style="29" customWidth="1"/>
    <col min="6" max="6" width="21.81640625" style="29" customWidth="1"/>
    <col min="7" max="7" width="16.26953125" style="29" customWidth="1"/>
    <col min="8" max="8" width="33.7265625" style="29" bestFit="1" customWidth="1"/>
    <col min="9" max="9" width="38" style="29" bestFit="1" customWidth="1"/>
    <col min="10" max="10" width="47.26953125" style="29" customWidth="1"/>
    <col min="11" max="11" width="18.453125" style="29" customWidth="1"/>
    <col min="12" max="16384" width="9.1796875" style="29"/>
  </cols>
  <sheetData>
    <row r="1" spans="1:8" ht="8.5" customHeight="1" thickBot="1" x14ac:dyDescent="0.3">
      <c r="A1" s="985" t="s">
        <v>1288</v>
      </c>
    </row>
    <row r="2" spans="1:8" ht="27" customHeight="1" thickBot="1" x14ac:dyDescent="0.3">
      <c r="A2" s="465"/>
      <c r="B2" s="1539" t="s">
        <v>1423</v>
      </c>
      <c r="C2" s="1540"/>
      <c r="D2" s="1540"/>
      <c r="E2" s="1541"/>
      <c r="F2" s="1541"/>
      <c r="G2" s="1542"/>
    </row>
    <row r="3" spans="1:8" ht="30" customHeight="1" thickBot="1" x14ac:dyDescent="0.3">
      <c r="A3" s="465" t="s">
        <v>1042</v>
      </c>
      <c r="B3" s="1543" t="s">
        <v>1419</v>
      </c>
      <c r="C3" s="1544"/>
      <c r="D3" s="1545"/>
      <c r="E3" s="318"/>
      <c r="F3" s="319"/>
      <c r="G3" s="320"/>
    </row>
    <row r="4" spans="1:8" ht="6.65" customHeight="1" thickBot="1" x14ac:dyDescent="0.3">
      <c r="A4" s="465"/>
      <c r="B4" s="504"/>
      <c r="C4" s="505"/>
      <c r="D4" s="1546"/>
      <c r="E4" s="1546"/>
      <c r="F4" s="496"/>
      <c r="G4" s="497"/>
    </row>
    <row r="5" spans="1:8" ht="22.5" thickTop="1" x14ac:dyDescent="0.25">
      <c r="A5" s="465"/>
      <c r="B5" s="776" t="s">
        <v>1067</v>
      </c>
      <c r="C5" s="777"/>
      <c r="D5" s="778"/>
      <c r="E5" s="778"/>
      <c r="F5" s="499"/>
      <c r="G5" s="501"/>
    </row>
    <row r="6" spans="1:8" ht="21" customHeight="1" x14ac:dyDescent="0.25">
      <c r="A6" s="465"/>
      <c r="B6" s="1244" t="s">
        <v>203</v>
      </c>
      <c r="C6" s="505"/>
      <c r="D6" s="1200"/>
      <c r="E6" s="1200"/>
      <c r="F6" s="496"/>
      <c r="G6" s="497"/>
    </row>
    <row r="7" spans="1:8" ht="20" x14ac:dyDescent="0.25">
      <c r="A7" s="465"/>
      <c r="B7" s="1245"/>
      <c r="C7" s="505"/>
      <c r="D7" s="772"/>
      <c r="E7" s="772"/>
      <c r="F7" s="496"/>
      <c r="G7" s="497"/>
    </row>
    <row r="8" spans="1:8" ht="29.25" customHeight="1" x14ac:dyDescent="0.25">
      <c r="A8" s="465"/>
      <c r="B8" s="1244" t="s">
        <v>198</v>
      </c>
      <c r="C8" s="505"/>
      <c r="D8" s="1127"/>
      <c r="E8" s="1127"/>
      <c r="F8" s="496"/>
      <c r="G8" s="497"/>
    </row>
    <row r="9" spans="1:8" ht="20" x14ac:dyDescent="0.25">
      <c r="A9" s="465"/>
      <c r="B9" s="1245"/>
      <c r="C9" s="505"/>
      <c r="D9" s="505"/>
      <c r="E9" s="505"/>
      <c r="F9" s="496"/>
      <c r="G9" s="497"/>
    </row>
    <row r="10" spans="1:8" ht="20" x14ac:dyDescent="0.25">
      <c r="A10" s="465"/>
      <c r="B10" s="1244" t="s">
        <v>197</v>
      </c>
      <c r="C10" s="505"/>
      <c r="D10" s="505"/>
      <c r="E10" s="505"/>
      <c r="F10" s="496"/>
      <c r="G10" s="497"/>
    </row>
    <row r="11" spans="1:8" ht="20" x14ac:dyDescent="0.25">
      <c r="A11" s="465"/>
      <c r="B11" s="504"/>
      <c r="C11" s="505"/>
      <c r="D11" s="505"/>
      <c r="E11" s="505"/>
      <c r="F11" s="496"/>
      <c r="G11" s="497"/>
    </row>
    <row r="12" spans="1:8" ht="20" x14ac:dyDescent="0.25">
      <c r="A12" s="465"/>
      <c r="B12" s="504"/>
      <c r="C12" s="505"/>
      <c r="D12" s="505"/>
      <c r="E12" s="505"/>
      <c r="F12" s="496"/>
      <c r="G12" s="497"/>
    </row>
    <row r="13" spans="1:8" ht="20" x14ac:dyDescent="0.25">
      <c r="A13" s="465"/>
      <c r="B13" s="504"/>
      <c r="C13" s="505"/>
      <c r="D13" s="505"/>
      <c r="E13" s="505"/>
      <c r="F13" s="496"/>
      <c r="G13" s="497"/>
    </row>
    <row r="14" spans="1:8" ht="20" x14ac:dyDescent="0.25">
      <c r="A14" s="465"/>
      <c r="B14" s="831" t="s">
        <v>322</v>
      </c>
      <c r="C14" s="505"/>
      <c r="D14" s="505"/>
      <c r="E14" s="505"/>
      <c r="F14" s="505"/>
      <c r="G14" s="497"/>
    </row>
    <row r="15" spans="1:8" ht="20" x14ac:dyDescent="0.25">
      <c r="A15" s="465"/>
      <c r="B15" s="831" t="s">
        <v>372</v>
      </c>
      <c r="C15" s="505"/>
      <c r="D15" s="505"/>
      <c r="E15" s="505"/>
      <c r="F15" s="505"/>
      <c r="G15" s="497"/>
    </row>
    <row r="16" spans="1:8" ht="20" x14ac:dyDescent="0.25">
      <c r="A16" s="465"/>
      <c r="B16" s="831" t="s">
        <v>143</v>
      </c>
      <c r="C16" s="505"/>
      <c r="D16" s="505"/>
      <c r="E16" s="505"/>
      <c r="F16" s="505"/>
      <c r="G16" s="497"/>
      <c r="H16" s="1196" t="s">
        <v>1178</v>
      </c>
    </row>
    <row r="17" spans="1:8" ht="20" x14ac:dyDescent="0.25">
      <c r="A17" s="465"/>
      <c r="B17" s="831" t="s">
        <v>951</v>
      </c>
      <c r="C17" s="505"/>
      <c r="D17" s="505"/>
      <c r="E17" s="505"/>
      <c r="F17" s="505"/>
      <c r="G17" s="497"/>
      <c r="H17" s="1197">
        <f ca="1">+NPV</f>
        <v>1.0004871459302417E-6</v>
      </c>
    </row>
    <row r="18" spans="1:8" ht="20" x14ac:dyDescent="0.25">
      <c r="A18" s="465"/>
      <c r="B18" s="831" t="s">
        <v>354</v>
      </c>
      <c r="C18" s="505"/>
      <c r="D18" s="505"/>
      <c r="E18" s="505"/>
      <c r="F18" s="505"/>
      <c r="G18" s="497"/>
    </row>
    <row r="19" spans="1:8" ht="20" x14ac:dyDescent="0.25">
      <c r="A19" s="465"/>
      <c r="B19" s="831" t="s">
        <v>952</v>
      </c>
      <c r="C19" s="505"/>
      <c r="D19" s="505"/>
      <c r="E19" s="505"/>
      <c r="F19" s="505"/>
      <c r="G19" s="497"/>
    </row>
    <row r="20" spans="1:8" ht="20" x14ac:dyDescent="0.25">
      <c r="A20" s="465"/>
      <c r="B20" s="831" t="s">
        <v>953</v>
      </c>
      <c r="C20" s="505"/>
      <c r="D20" s="505"/>
      <c r="E20" s="505"/>
      <c r="F20" s="505"/>
      <c r="G20" s="497"/>
    </row>
    <row r="21" spans="1:8" ht="5.5" customHeight="1" x14ac:dyDescent="0.25">
      <c r="A21" s="465"/>
      <c r="B21" s="829"/>
      <c r="C21" s="505"/>
      <c r="D21" s="772"/>
      <c r="E21" s="772"/>
      <c r="F21" s="496"/>
      <c r="G21" s="497"/>
    </row>
    <row r="22" spans="1:8" ht="5.5" customHeight="1" x14ac:dyDescent="0.25">
      <c r="A22" s="465"/>
      <c r="E22" s="772"/>
      <c r="F22" s="496"/>
      <c r="G22" s="497"/>
    </row>
    <row r="23" spans="1:8" ht="5.5" customHeight="1" thickBot="1" x14ac:dyDescent="0.3">
      <c r="A23" s="465"/>
      <c r="B23" s="504"/>
      <c r="C23" s="505"/>
      <c r="D23" s="772"/>
      <c r="E23" s="772"/>
      <c r="F23" s="496"/>
      <c r="G23" s="497"/>
    </row>
    <row r="24" spans="1:8" ht="31.5" customHeight="1" thickTop="1" thickBot="1" x14ac:dyDescent="0.3">
      <c r="A24" s="465"/>
      <c r="B24" s="498" t="s">
        <v>322</v>
      </c>
      <c r="C24" s="500"/>
      <c r="D24" s="500"/>
      <c r="E24" s="1525" t="s">
        <v>441</v>
      </c>
      <c r="F24" s="1525"/>
      <c r="G24" s="1526"/>
    </row>
    <row r="25" spans="1:8" ht="17.149999999999999" customHeight="1" thickBot="1" x14ac:dyDescent="0.3">
      <c r="A25" s="465" t="s">
        <v>8</v>
      </c>
      <c r="B25" s="321" t="s">
        <v>334</v>
      </c>
      <c r="C25" s="856">
        <f ca="1">0.9*sensitivity_01</f>
        <v>0.9</v>
      </c>
      <c r="D25" s="471"/>
      <c r="E25" s="1532"/>
      <c r="F25" s="1532"/>
      <c r="G25" s="1533"/>
    </row>
    <row r="26" spans="1:8" ht="17.149999999999999" customHeight="1" thickBot="1" x14ac:dyDescent="0.3">
      <c r="A26" s="465" t="s">
        <v>26</v>
      </c>
      <c r="B26" s="321" t="s">
        <v>335</v>
      </c>
      <c r="C26" s="556">
        <f ca="1">379387*sensitivity_02</f>
        <v>379387</v>
      </c>
      <c r="D26" s="471"/>
      <c r="E26" s="1532"/>
      <c r="F26" s="1532"/>
      <c r="G26" s="1533"/>
    </row>
    <row r="27" spans="1:8" ht="17.149999999999999" customHeight="1" thickBot="1" x14ac:dyDescent="0.3">
      <c r="A27" s="465"/>
      <c r="B27" s="321" t="s">
        <v>430</v>
      </c>
      <c r="C27" s="857">
        <f ca="1">design_cap*cap_factor</f>
        <v>341448.3</v>
      </c>
      <c r="D27" s="471"/>
      <c r="E27" s="242"/>
      <c r="F27" s="242"/>
      <c r="G27" s="553"/>
    </row>
    <row r="28" spans="1:8" ht="17.149999999999999" customHeight="1" thickBot="1" x14ac:dyDescent="0.3">
      <c r="A28" s="465" t="s">
        <v>1009</v>
      </c>
      <c r="B28" s="321" t="s">
        <v>20</v>
      </c>
      <c r="C28" s="502">
        <f ca="1">output_kgpday*365</f>
        <v>124628629.5</v>
      </c>
      <c r="D28" s="471"/>
      <c r="E28" s="1536"/>
      <c r="F28" s="1532"/>
      <c r="G28" s="1533"/>
    </row>
    <row r="29" spans="1:8" ht="20.149999999999999" customHeight="1" thickTop="1" thickBot="1" x14ac:dyDescent="0.3">
      <c r="A29" s="465"/>
      <c r="B29" s="498" t="s">
        <v>372</v>
      </c>
      <c r="C29" s="500"/>
      <c r="D29" s="503"/>
      <c r="E29" s="1525" t="s">
        <v>1099</v>
      </c>
      <c r="F29" s="1525"/>
      <c r="G29" s="1526"/>
    </row>
    <row r="30" spans="1:8" ht="17.149999999999999" customHeight="1" thickBot="1" x14ac:dyDescent="0.3">
      <c r="A30" s="465" t="s">
        <v>1025</v>
      </c>
      <c r="B30" s="322" t="s">
        <v>1026</v>
      </c>
      <c r="C30" s="1269">
        <v>2016</v>
      </c>
      <c r="D30" s="471"/>
      <c r="E30" s="1523"/>
      <c r="F30" s="1523"/>
      <c r="G30" s="1524"/>
    </row>
    <row r="31" spans="1:8" ht="17.149999999999999" customHeight="1" thickBot="1" x14ac:dyDescent="0.3">
      <c r="A31" s="465" t="s">
        <v>182</v>
      </c>
      <c r="B31" s="321" t="s">
        <v>373</v>
      </c>
      <c r="C31" s="1269">
        <v>2015</v>
      </c>
      <c r="D31" s="471"/>
      <c r="E31" s="1523"/>
      <c r="F31" s="1523"/>
      <c r="G31" s="1524"/>
    </row>
    <row r="32" spans="1:8" ht="17.149999999999999" customHeight="1" thickBot="1" x14ac:dyDescent="0.3">
      <c r="A32" s="465"/>
      <c r="B32" s="321" t="s">
        <v>841</v>
      </c>
      <c r="C32" s="858">
        <v>2005</v>
      </c>
      <c r="D32" s="1547" t="s">
        <v>1098</v>
      </c>
      <c r="E32" s="1003"/>
      <c r="F32" s="1003"/>
      <c r="G32" s="1004"/>
    </row>
    <row r="33" spans="1:7" ht="17.149999999999999" customHeight="1" thickBot="1" x14ac:dyDescent="0.3">
      <c r="A33" s="465" t="s">
        <v>10</v>
      </c>
      <c r="B33" s="321" t="s">
        <v>374</v>
      </c>
      <c r="C33" s="858">
        <v>3</v>
      </c>
      <c r="D33" s="1547"/>
      <c r="E33" s="1537"/>
      <c r="F33" s="1537"/>
      <c r="G33" s="1538"/>
    </row>
    <row r="34" spans="1:7" ht="17.149999999999999" customHeight="1" thickBot="1" x14ac:dyDescent="0.3">
      <c r="A34" s="465" t="s">
        <v>161</v>
      </c>
      <c r="B34" s="321" t="s">
        <v>945</v>
      </c>
      <c r="C34" s="859">
        <v>0.08</v>
      </c>
      <c r="D34" s="987"/>
      <c r="E34" s="1523"/>
      <c r="F34" s="1523"/>
      <c r="G34" s="1524"/>
    </row>
    <row r="35" spans="1:7" ht="17.149999999999999" customHeight="1" thickBot="1" x14ac:dyDescent="0.3">
      <c r="A35" s="465" t="s">
        <v>162</v>
      </c>
      <c r="B35" s="321" t="s">
        <v>375</v>
      </c>
      <c r="C35" s="859">
        <v>0.6</v>
      </c>
      <c r="D35" s="987"/>
      <c r="E35" s="1523"/>
      <c r="F35" s="1523"/>
      <c r="G35" s="1524"/>
    </row>
    <row r="36" spans="1:7" ht="17.149999999999999" customHeight="1" thickBot="1" x14ac:dyDescent="0.3">
      <c r="A36" s="465" t="s">
        <v>163</v>
      </c>
      <c r="B36" s="323" t="s">
        <v>376</v>
      </c>
      <c r="C36" s="859">
        <v>0.32</v>
      </c>
      <c r="D36" s="987"/>
      <c r="E36" s="1523"/>
      <c r="F36" s="1523"/>
      <c r="G36" s="1524"/>
    </row>
    <row r="37" spans="1:7" ht="17.149999999999999" customHeight="1" thickBot="1" x14ac:dyDescent="0.3">
      <c r="A37" s="465" t="s">
        <v>164</v>
      </c>
      <c r="B37" s="323" t="s">
        <v>323</v>
      </c>
      <c r="C37" s="859"/>
      <c r="D37" s="471"/>
      <c r="E37" s="1523"/>
      <c r="F37" s="1523"/>
      <c r="G37" s="1524"/>
    </row>
    <row r="38" spans="1:7" ht="17.149999999999999" customHeight="1" thickBot="1" x14ac:dyDescent="0.3">
      <c r="A38" s="465" t="s">
        <v>181</v>
      </c>
      <c r="B38" s="321" t="s">
        <v>378</v>
      </c>
      <c r="C38" s="858">
        <v>1</v>
      </c>
      <c r="D38" s="471"/>
      <c r="E38" s="1523"/>
      <c r="F38" s="1523"/>
      <c r="G38" s="1524"/>
    </row>
    <row r="39" spans="1:7" ht="17.149999999999999" customHeight="1" thickBot="1" x14ac:dyDescent="0.3">
      <c r="A39" s="465" t="s">
        <v>170</v>
      </c>
      <c r="B39" s="321" t="s">
        <v>379</v>
      </c>
      <c r="C39" s="858">
        <v>40</v>
      </c>
      <c r="D39" s="471"/>
      <c r="E39" s="1523"/>
      <c r="F39" s="1523"/>
      <c r="G39" s="1524"/>
    </row>
    <row r="40" spans="1:7" ht="17.149999999999999" customHeight="1" thickBot="1" x14ac:dyDescent="0.3">
      <c r="A40" s="465" t="s">
        <v>7</v>
      </c>
      <c r="B40" s="321" t="s">
        <v>380</v>
      </c>
      <c r="C40" s="858">
        <v>40</v>
      </c>
      <c r="D40" s="471"/>
      <c r="E40" s="1523"/>
      <c r="F40" s="1523"/>
      <c r="G40" s="1524"/>
    </row>
    <row r="41" spans="1:7" ht="17.149999999999999" customHeight="1" thickBot="1" x14ac:dyDescent="0.3">
      <c r="A41" s="465" t="s">
        <v>24</v>
      </c>
      <c r="B41" s="321" t="s">
        <v>381</v>
      </c>
      <c r="C41" s="858">
        <v>20</v>
      </c>
      <c r="D41" s="471"/>
      <c r="E41" s="1523"/>
      <c r="F41" s="1523"/>
      <c r="G41" s="1524"/>
    </row>
    <row r="42" spans="1:7" ht="17.149999999999999" customHeight="1" thickBot="1" x14ac:dyDescent="0.3">
      <c r="A42" s="465" t="s">
        <v>25</v>
      </c>
      <c r="B42" s="321" t="s">
        <v>389</v>
      </c>
      <c r="C42" s="858" t="s">
        <v>438</v>
      </c>
      <c r="D42" s="471"/>
      <c r="E42" s="1523"/>
      <c r="F42" s="1523"/>
      <c r="G42" s="1524"/>
    </row>
    <row r="43" spans="1:7" ht="17.149999999999999" customHeight="1" thickBot="1" x14ac:dyDescent="0.3">
      <c r="A43" s="465" t="s">
        <v>247</v>
      </c>
      <c r="B43" s="321" t="s">
        <v>19</v>
      </c>
      <c r="C43" s="860">
        <v>0.4</v>
      </c>
      <c r="D43" s="471"/>
      <c r="E43" s="1523"/>
      <c r="F43" s="1523"/>
      <c r="G43" s="1524"/>
    </row>
    <row r="44" spans="1:7" ht="17.149999999999999" customHeight="1" thickBot="1" x14ac:dyDescent="0.3">
      <c r="A44" s="465" t="s">
        <v>13</v>
      </c>
      <c r="B44" s="321" t="s">
        <v>388</v>
      </c>
      <c r="C44" s="1442">
        <v>3.6999999999999998E-2</v>
      </c>
      <c r="D44" s="471"/>
      <c r="E44" s="1530"/>
      <c r="F44" s="1523"/>
      <c r="G44" s="1524"/>
    </row>
    <row r="45" spans="1:7" ht="17.149999999999999" customHeight="1" thickBot="1" x14ac:dyDescent="0.3">
      <c r="A45" s="465" t="s">
        <v>14</v>
      </c>
      <c r="B45" s="321" t="s">
        <v>382</v>
      </c>
      <c r="C45" s="1519">
        <v>0</v>
      </c>
      <c r="D45" s="471"/>
      <c r="E45" s="1530" t="s">
        <v>1422</v>
      </c>
      <c r="F45" s="1530"/>
      <c r="G45" s="1548"/>
    </row>
    <row r="46" spans="1:7" ht="17.149999999999999" customHeight="1" thickBot="1" x14ac:dyDescent="0.3">
      <c r="A46" s="465" t="s">
        <v>165</v>
      </c>
      <c r="B46" s="321" t="s">
        <v>383</v>
      </c>
      <c r="C46" s="859">
        <v>0.75</v>
      </c>
      <c r="D46" s="471"/>
      <c r="E46" s="1523"/>
      <c r="F46" s="1523"/>
      <c r="G46" s="1524"/>
    </row>
    <row r="47" spans="1:7" ht="17.149999999999999" customHeight="1" thickBot="1" x14ac:dyDescent="0.3">
      <c r="A47" s="465" t="s">
        <v>167</v>
      </c>
      <c r="B47" s="321" t="s">
        <v>384</v>
      </c>
      <c r="C47" s="859">
        <v>0.5</v>
      </c>
      <c r="D47" s="471"/>
      <c r="E47" s="1523"/>
      <c r="F47" s="1523"/>
      <c r="G47" s="1524"/>
    </row>
    <row r="48" spans="1:7" ht="17.149999999999999" customHeight="1" thickBot="1" x14ac:dyDescent="0.3">
      <c r="A48" s="465" t="s">
        <v>168</v>
      </c>
      <c r="B48" s="321" t="s">
        <v>385</v>
      </c>
      <c r="C48" s="859">
        <v>0.75</v>
      </c>
      <c r="D48" s="471"/>
      <c r="E48" s="1523"/>
      <c r="F48" s="1523"/>
      <c r="G48" s="1524"/>
    </row>
    <row r="49" spans="1:7" ht="17.149999999999999" customHeight="1" thickBot="1" x14ac:dyDescent="0.3">
      <c r="A49" s="465" t="s">
        <v>18</v>
      </c>
      <c r="B49" s="321" t="s">
        <v>386</v>
      </c>
      <c r="C49" s="859">
        <v>0.1</v>
      </c>
      <c r="D49" s="471"/>
      <c r="E49" s="1523"/>
      <c r="F49" s="1523"/>
      <c r="G49" s="1524"/>
    </row>
    <row r="50" spans="1:7" ht="17.149999999999999" customHeight="1" thickBot="1" x14ac:dyDescent="0.3">
      <c r="A50" s="465" t="s">
        <v>178</v>
      </c>
      <c r="B50" s="321" t="s">
        <v>387</v>
      </c>
      <c r="C50" s="859">
        <v>0.1</v>
      </c>
      <c r="D50" s="471"/>
      <c r="E50" s="1523"/>
      <c r="F50" s="1523"/>
      <c r="G50" s="1524"/>
    </row>
    <row r="51" spans="1:7" ht="17.149999999999999" customHeight="1" thickBot="1" x14ac:dyDescent="0.3">
      <c r="A51" s="465" t="s">
        <v>30</v>
      </c>
      <c r="B51" s="321" t="s">
        <v>978</v>
      </c>
      <c r="C51" s="856">
        <v>1.9E-2</v>
      </c>
      <c r="D51" s="471"/>
      <c r="E51" s="1523"/>
      <c r="F51" s="1523"/>
      <c r="G51" s="1524"/>
    </row>
    <row r="52" spans="1:7" ht="17.149999999999999" customHeight="1" thickBot="1" x14ac:dyDescent="0.3">
      <c r="A52" s="465" t="s">
        <v>174</v>
      </c>
      <c r="B52" s="321" t="s">
        <v>1020</v>
      </c>
      <c r="C52" s="856">
        <f ca="1">0.08*sensitivity_03</f>
        <v>0.08</v>
      </c>
      <c r="D52" s="471"/>
      <c r="E52" s="1530"/>
      <c r="F52" s="1523"/>
      <c r="G52" s="1524"/>
    </row>
    <row r="53" spans="1:7" ht="17.149999999999999" customHeight="1" thickBot="1" x14ac:dyDescent="0.3">
      <c r="A53" s="465" t="s">
        <v>184</v>
      </c>
      <c r="B53" s="321" t="s">
        <v>1021</v>
      </c>
      <c r="C53" s="856">
        <v>0.06</v>
      </c>
      <c r="D53" s="471"/>
      <c r="E53" s="1523"/>
      <c r="F53" s="1523"/>
      <c r="G53" s="1524"/>
    </row>
    <row r="54" spans="1:7" ht="17.149999999999999" customHeight="1" thickBot="1" x14ac:dyDescent="0.3">
      <c r="A54" s="465" t="s">
        <v>28</v>
      </c>
      <c r="B54" s="321" t="s">
        <v>977</v>
      </c>
      <c r="C54" s="470">
        <v>0.21</v>
      </c>
      <c r="D54" s="471"/>
      <c r="E54" s="1523"/>
      <c r="F54" s="1523"/>
      <c r="G54" s="1524"/>
    </row>
    <row r="55" spans="1:7" ht="17.149999999999999" customHeight="1" thickBot="1" x14ac:dyDescent="0.3">
      <c r="A55" s="465" t="s">
        <v>1017</v>
      </c>
      <c r="B55" s="321" t="s">
        <v>21</v>
      </c>
      <c r="C55" s="861">
        <f>fed_tax_rate+state_tax_rate*(1-fed_tax_rate)</f>
        <v>0.25739999999999996</v>
      </c>
      <c r="D55" s="472"/>
      <c r="E55" s="1531"/>
      <c r="F55" s="1523"/>
      <c r="G55" s="1524"/>
    </row>
    <row r="56" spans="1:7" ht="17.149999999999999" customHeight="1" thickBot="1" x14ac:dyDescent="0.3">
      <c r="A56" s="465" t="s">
        <v>189</v>
      </c>
      <c r="B56" s="321" t="s">
        <v>371</v>
      </c>
      <c r="C56" s="473">
        <v>0.15</v>
      </c>
      <c r="D56" s="471"/>
      <c r="E56" s="1523"/>
      <c r="F56" s="1523"/>
      <c r="G56" s="1524"/>
    </row>
    <row r="57" spans="1:7" ht="18.75" customHeight="1" thickTop="1" x14ac:dyDescent="0.3">
      <c r="A57" s="465"/>
      <c r="B57" s="506" t="s">
        <v>1043</v>
      </c>
      <c r="C57" s="833"/>
      <c r="D57" s="827"/>
      <c r="E57" s="827"/>
      <c r="F57" s="827"/>
      <c r="G57" s="828"/>
    </row>
    <row r="58" spans="1:7" ht="21" customHeight="1" thickBot="1" x14ac:dyDescent="0.3">
      <c r="A58" s="465"/>
      <c r="B58" s="432" t="s">
        <v>275</v>
      </c>
      <c r="C58" s="490"/>
      <c r="D58" s="434"/>
      <c r="E58" s="433"/>
      <c r="F58" s="433"/>
      <c r="G58" s="435"/>
    </row>
    <row r="59" spans="1:7" ht="23.25" customHeight="1" thickBot="1" x14ac:dyDescent="0.3">
      <c r="A59" s="465"/>
      <c r="B59" s="476" t="s">
        <v>1290</v>
      </c>
      <c r="C59" s="490"/>
      <c r="D59" s="434"/>
      <c r="E59" s="433"/>
      <c r="F59" s="1527" t="s">
        <v>714</v>
      </c>
      <c r="G59" s="435"/>
    </row>
    <row r="60" spans="1:7" ht="18.75" customHeight="1" thickBot="1" x14ac:dyDescent="0.3">
      <c r="A60" s="465"/>
      <c r="B60" s="432" t="s">
        <v>696</v>
      </c>
      <c r="C60" s="433"/>
      <c r="D60" s="434"/>
      <c r="E60" s="433"/>
      <c r="F60" s="1527"/>
      <c r="G60" s="435"/>
    </row>
    <row r="61" spans="1:7" ht="17.149999999999999" customHeight="1" thickBot="1" x14ac:dyDescent="0.3">
      <c r="A61" s="465"/>
      <c r="B61" s="476" t="s">
        <v>1352</v>
      </c>
      <c r="C61" s="436" t="str">
        <f>IF(OR(TMP_FeedType="Feedstock",TMP_FeedType = "Utility")," Enter usage in","Enter production in")</f>
        <v xml:space="preserve"> Enter usage in</v>
      </c>
      <c r="D61" s="436" t="str">
        <f ca="1">VLOOKUP(TMP_FeedName,INDIRECT(TMP_PriceTable),4,FALSE)</f>
        <v>kWh</v>
      </c>
      <c r="E61" s="433"/>
      <c r="F61" s="1527"/>
      <c r="G61" s="435"/>
    </row>
    <row r="62" spans="1:7" ht="17.149999999999999" customHeight="1" thickBot="1" x14ac:dyDescent="0.3">
      <c r="A62" s="465"/>
      <c r="B62" s="432" t="s">
        <v>697</v>
      </c>
      <c r="C62" s="436"/>
      <c r="D62" s="436"/>
      <c r="E62" s="433"/>
      <c r="F62" s="1527"/>
      <c r="G62" s="435"/>
    </row>
    <row r="63" spans="1:7" ht="17.149999999999999" customHeight="1" thickBot="1" x14ac:dyDescent="0.3">
      <c r="A63" s="465"/>
      <c r="B63" s="1198" t="s">
        <v>698</v>
      </c>
      <c r="C63" s="434"/>
      <c r="D63" s="434"/>
      <c r="E63" s="433"/>
      <c r="F63" s="1527"/>
      <c r="G63" s="435"/>
    </row>
    <row r="64" spans="1:7" ht="17.149999999999999" customHeight="1" thickBot="1" x14ac:dyDescent="0.3">
      <c r="A64" s="465"/>
      <c r="B64" s="892"/>
      <c r="C64" s="434"/>
      <c r="D64" s="434"/>
      <c r="E64" s="433"/>
      <c r="F64" s="1527"/>
      <c r="G64" s="435"/>
    </row>
    <row r="65" spans="1:7" ht="37.5" customHeight="1" thickBot="1" x14ac:dyDescent="0.3">
      <c r="A65" s="465"/>
      <c r="B65" s="445" t="str">
        <f>SELECTED_FEED</f>
        <v>utility</v>
      </c>
      <c r="C65" s="547" t="str">
        <f>TMP_FeedName</f>
        <v>Industrial Electricity</v>
      </c>
      <c r="D65" s="548"/>
      <c r="E65" s="438"/>
      <c r="F65" s="1527"/>
      <c r="G65" s="435"/>
    </row>
    <row r="66" spans="1:7" ht="19" customHeight="1" thickBot="1" x14ac:dyDescent="0.3">
      <c r="A66" s="465"/>
      <c r="B66" s="446" t="str">
        <f ca="1">"Price Conversion Factor (GJ/"&amp;TMP_Units&amp;")"</f>
        <v>Price Conversion Factor (GJ/kWh)</v>
      </c>
      <c r="C66" s="457">
        <f ca="1">VLOOKUP(TMP_FeedName,MASTER_PROPERTY_TABLE,9,FALSE)</f>
        <v>3.5999999999999995E-3</v>
      </c>
      <c r="D66" s="439"/>
      <c r="E66" s="438"/>
      <c r="F66" s="1527"/>
      <c r="G66" s="435"/>
    </row>
    <row r="67" spans="1:7" ht="19" customHeight="1" thickBot="1" x14ac:dyDescent="0.3">
      <c r="A67" s="465"/>
      <c r="B67" s="837" t="str">
        <f ca="1">"Price in Startup Year ($" &amp; ref_year &amp; ")/" &amp; TMP_Units</f>
        <v>Price in Startup Year ($2016)/kWh</v>
      </c>
      <c r="C67" s="1270">
        <f ca="1">HLOOKUP(startup_year,INDIRECT(TMP_PriceTable),MATCH(TMP_FeedName,INDIRECT(Energy_Feed_List),0),FALSE)*TMP_Conversion</f>
        <v>6.9980611257164108E-2</v>
      </c>
      <c r="D67" s="440"/>
      <c r="E67" s="441"/>
      <c r="F67" s="1527"/>
      <c r="G67" s="435"/>
    </row>
    <row r="68" spans="1:7" ht="19" customHeight="1" thickBot="1" x14ac:dyDescent="0.35">
      <c r="A68" s="465"/>
      <c r="B68" s="446" t="str">
        <f ca="1">IF(OR(TMP_FeedType="Feedstock",TMP_FeedType = "Utility"),"Usage ("&amp;TMP_Units&amp;"/kg H2)","Production ("&amp;TMP_Units&amp;"/kg H2)")</f>
        <v>Usage (kWh/kg H2)</v>
      </c>
      <c r="C68" s="911">
        <v>0.56899999999999995</v>
      </c>
      <c r="D68" s="441"/>
      <c r="E68" s="438"/>
      <c r="F68" s="1527"/>
      <c r="G68" s="435"/>
    </row>
    <row r="69" spans="1:7" ht="19" customHeight="1" thickBot="1" x14ac:dyDescent="0.3">
      <c r="A69" s="465"/>
      <c r="B69" s="447" t="str">
        <f>IF(OR(TMP_FeedType = "Feedstock",TMP_FeedType = "Utility"), "Cost in Startup Year","Income in Startup Year")</f>
        <v>Cost in Startup Year</v>
      </c>
      <c r="C69" s="462">
        <f ca="1">design_cap*365*cap_factor*TMP_Usage*TMP_StartPrice</f>
        <v>4962583.3856824487</v>
      </c>
      <c r="D69" s="439"/>
      <c r="E69" s="438"/>
      <c r="F69" s="433"/>
      <c r="G69" s="435"/>
    </row>
    <row r="70" spans="1:7" ht="19" customHeight="1" thickBot="1" x14ac:dyDescent="0.3">
      <c r="A70" s="465"/>
      <c r="B70" s="446" t="s">
        <v>262</v>
      </c>
      <c r="C70" s="456" t="s">
        <v>711</v>
      </c>
      <c r="D70" s="439"/>
      <c r="E70" s="438"/>
      <c r="F70" s="433"/>
      <c r="G70" s="435"/>
    </row>
    <row r="71" spans="1:7" s="434" customFormat="1" ht="19" customHeight="1" x14ac:dyDescent="0.25">
      <c r="A71" s="906"/>
      <c r="B71" s="907"/>
      <c r="C71" s="908"/>
      <c r="D71" s="439"/>
      <c r="E71" s="438"/>
      <c r="F71" s="433"/>
      <c r="G71" s="435"/>
    </row>
    <row r="72" spans="1:7" ht="27" customHeight="1" thickBot="1" x14ac:dyDescent="0.35">
      <c r="A72" s="466"/>
      <c r="B72" s="909" t="s">
        <v>715</v>
      </c>
      <c r="C72" s="443"/>
      <c r="D72" s="443"/>
      <c r="E72" s="443"/>
      <c r="F72" s="443"/>
      <c r="G72" s="444"/>
    </row>
    <row r="73" spans="1:7" ht="28" customHeight="1" x14ac:dyDescent="0.25">
      <c r="A73" s="466" t="s">
        <v>15</v>
      </c>
      <c r="B73" s="458"/>
      <c r="C73" s="459"/>
      <c r="D73" s="459"/>
      <c r="E73" s="459"/>
      <c r="F73" s="460"/>
      <c r="G73" s="461"/>
    </row>
    <row r="74" spans="1:7" ht="28" customHeight="1" x14ac:dyDescent="0.25">
      <c r="A74" s="466"/>
      <c r="B74" s="458" t="s">
        <v>833</v>
      </c>
      <c r="C74" s="459" t="s">
        <v>1353</v>
      </c>
      <c r="D74" s="459" t="s">
        <v>1354</v>
      </c>
      <c r="E74" s="459" t="s">
        <v>1355</v>
      </c>
      <c r="F74" s="460" t="s">
        <v>834</v>
      </c>
      <c r="G74" s="461" t="s">
        <v>262</v>
      </c>
    </row>
    <row r="75" spans="1:7" ht="28" customHeight="1" x14ac:dyDescent="0.25">
      <c r="A75" s="466"/>
      <c r="B75" s="458" t="s">
        <v>283</v>
      </c>
      <c r="C75" s="459">
        <v>1.0549999999999999</v>
      </c>
      <c r="D75" s="459">
        <v>3.7336748144174337</v>
      </c>
      <c r="E75" s="459">
        <f ca="1">0.15625*sensitivity_04</f>
        <v>0.15625</v>
      </c>
      <c r="F75" s="460">
        <f ca="1">+feedstockIndustrial_Natural_Gas_Price*feedstockIndustrial_Natural_Gas_Usage*output_kgyear*percnt_var*'Cash Flow Analysis'!E68/'Cash Flow Analysis'!E69</f>
        <v>53513260.754973277</v>
      </c>
      <c r="G75" s="461" t="s">
        <v>711</v>
      </c>
    </row>
    <row r="76" spans="1:7" ht="28" customHeight="1" x14ac:dyDescent="0.25">
      <c r="A76" s="466" t="s">
        <v>15</v>
      </c>
      <c r="B76" s="458"/>
      <c r="C76" s="459"/>
      <c r="D76" s="459"/>
      <c r="E76" s="459"/>
      <c r="F76" s="460"/>
      <c r="G76" s="461"/>
    </row>
    <row r="77" spans="1:7" ht="28" customHeight="1" x14ac:dyDescent="0.25">
      <c r="A77" s="466"/>
      <c r="B77" s="458" t="s">
        <v>1352</v>
      </c>
      <c r="C77" s="459" t="s">
        <v>1349</v>
      </c>
      <c r="D77" s="459" t="s">
        <v>1350</v>
      </c>
      <c r="E77" s="459" t="s">
        <v>1356</v>
      </c>
      <c r="F77" s="460" t="s">
        <v>834</v>
      </c>
      <c r="G77" s="461" t="s">
        <v>262</v>
      </c>
    </row>
    <row r="78" spans="1:7" ht="28" customHeight="1" x14ac:dyDescent="0.25">
      <c r="A78" s="466"/>
      <c r="B78" s="458" t="s">
        <v>698</v>
      </c>
      <c r="C78" s="459">
        <v>3.5999999999999995E-3</v>
      </c>
      <c r="D78" s="459">
        <v>6.9980611257164108E-2</v>
      </c>
      <c r="E78" s="459">
        <f ca="1">0.569*sensitivity_05</f>
        <v>0.56899999999999995</v>
      </c>
      <c r="F78" s="460">
        <f ca="1">+utilityIndustrial_Electricity_Price*utilityIndustrial_Electricity_Usage*output_kgyear*percnt_var*'Cash Flow Analysis'!E68/'Cash Flow Analysis'!E69</f>
        <v>3652539.2927005268</v>
      </c>
      <c r="G78" s="461" t="s">
        <v>711</v>
      </c>
    </row>
    <row r="79" spans="1:7" ht="28" customHeight="1" x14ac:dyDescent="0.25">
      <c r="A79" s="465" t="s">
        <v>273</v>
      </c>
      <c r="B79" s="458"/>
      <c r="C79" s="459"/>
      <c r="D79" s="459"/>
      <c r="E79" s="459"/>
      <c r="F79" s="460"/>
      <c r="G79" s="461"/>
    </row>
    <row r="80" spans="1:7" ht="28" customHeight="1" x14ac:dyDescent="0.25">
      <c r="A80" s="467" t="s">
        <v>274</v>
      </c>
      <c r="B80" s="459"/>
      <c r="C80" s="459"/>
      <c r="D80" s="459"/>
      <c r="E80" s="459"/>
      <c r="F80" s="460"/>
      <c r="G80" s="461"/>
    </row>
    <row r="81" spans="1:8" ht="17.149999999999999" customHeight="1" thickBot="1" x14ac:dyDescent="0.3">
      <c r="A81" s="467"/>
      <c r="B81" s="326"/>
      <c r="C81" s="326"/>
      <c r="D81" s="332"/>
      <c r="E81" s="332"/>
      <c r="F81" s="329" t="s">
        <v>58</v>
      </c>
      <c r="G81" s="331"/>
    </row>
    <row r="82" spans="1:8" ht="17.149999999999999" customHeight="1" thickBot="1" x14ac:dyDescent="0.3">
      <c r="A82" s="465" t="s">
        <v>251</v>
      </c>
      <c r="B82" s="333" t="s">
        <v>277</v>
      </c>
      <c r="C82" s="329"/>
      <c r="D82" s="332"/>
      <c r="E82" s="332"/>
      <c r="F82" s="245">
        <f ca="1">SUM(Dynamic_Feed_Total)</f>
        <v>53513260.754973277</v>
      </c>
      <c r="G82" s="331"/>
    </row>
    <row r="83" spans="1:8" ht="17.149999999999999" customHeight="1" thickBot="1" x14ac:dyDescent="0.3">
      <c r="A83" s="465" t="s">
        <v>252</v>
      </c>
      <c r="B83" s="333" t="s">
        <v>278</v>
      </c>
      <c r="C83" s="329"/>
      <c r="D83" s="332"/>
      <c r="E83" s="332"/>
      <c r="F83" s="245">
        <f ca="1">SUM(Dynamic_Utilities_Total)</f>
        <v>3652539.2927005268</v>
      </c>
      <c r="G83" s="331"/>
    </row>
    <row r="84" spans="1:8" ht="17.149999999999999" customHeight="1" thickBot="1" x14ac:dyDescent="0.3">
      <c r="A84" s="465" t="s">
        <v>256</v>
      </c>
      <c r="B84" s="324" t="s">
        <v>276</v>
      </c>
      <c r="C84" s="329"/>
      <c r="D84" s="332"/>
      <c r="E84" s="332"/>
      <c r="F84" s="245">
        <f>SUM(Dynamic_Byproduct_Total)</f>
        <v>0</v>
      </c>
      <c r="G84" s="331"/>
    </row>
    <row r="85" spans="1:8" ht="38.25" customHeight="1" x14ac:dyDescent="0.25">
      <c r="A85" s="465"/>
      <c r="B85" s="324"/>
      <c r="C85" s="319"/>
      <c r="D85" s="834" t="s">
        <v>317</v>
      </c>
      <c r="E85" s="1532"/>
      <c r="F85" s="1532"/>
      <c r="G85" s="1533"/>
    </row>
    <row r="86" spans="1:8" ht="28.5" customHeight="1" thickBot="1" x14ac:dyDescent="0.3">
      <c r="A86" s="465"/>
      <c r="B86" s="324"/>
      <c r="C86" s="319"/>
      <c r="D86" s="434"/>
      <c r="E86" s="1534"/>
      <c r="F86" s="1534"/>
      <c r="G86" s="1535"/>
    </row>
    <row r="87" spans="1:8" ht="17.149999999999999" customHeight="1" thickTop="1" thickBot="1" x14ac:dyDescent="0.3">
      <c r="A87" s="465"/>
      <c r="B87" s="498" t="s">
        <v>83</v>
      </c>
      <c r="C87" s="499"/>
      <c r="D87" s="499"/>
      <c r="E87" s="1525" t="s">
        <v>441</v>
      </c>
      <c r="F87" s="1525"/>
      <c r="G87" s="1526"/>
    </row>
    <row r="88" spans="1:8" ht="20.149999999999999" customHeight="1" thickBot="1" x14ac:dyDescent="0.3">
      <c r="A88" s="465" t="s">
        <v>246</v>
      </c>
      <c r="B88" s="327" t="s">
        <v>336</v>
      </c>
      <c r="C88" s="243">
        <f ca="1">Det_scaled_cap</f>
        <v>174611028.0144015</v>
      </c>
      <c r="D88" s="471"/>
      <c r="E88" s="1528" t="s">
        <v>531</v>
      </c>
      <c r="F88" s="1528"/>
      <c r="G88" s="1529"/>
    </row>
    <row r="89" spans="1:8" ht="28.9" customHeight="1" thickBot="1" x14ac:dyDescent="0.3">
      <c r="A89" s="465"/>
      <c r="B89" s="327" t="s">
        <v>1003</v>
      </c>
      <c r="C89" s="1276">
        <f>Det_CO2_seq</f>
        <v>0</v>
      </c>
      <c r="D89" s="471"/>
      <c r="E89" s="1528" t="s">
        <v>843</v>
      </c>
      <c r="F89" s="1528"/>
      <c r="G89" s="1529"/>
    </row>
    <row r="90" spans="1:8" ht="21.75" customHeight="1" x14ac:dyDescent="0.25">
      <c r="A90" s="465"/>
      <c r="B90" s="327"/>
      <c r="C90"/>
      <c r="D90"/>
      <c r="E90"/>
      <c r="F90"/>
      <c r="G90" s="449"/>
    </row>
    <row r="91" spans="1:8" ht="45.75" customHeight="1" thickBot="1" x14ac:dyDescent="0.35">
      <c r="A91" s="465"/>
      <c r="B91" s="327" t="s">
        <v>337</v>
      </c>
      <c r="C91" s="988" t="str">
        <f>"Enter values in basis year (" &amp; BasisYear &amp; ") dollars"</f>
        <v>Enter values in basis year (2005) dollars</v>
      </c>
      <c r="D91" s="988" t="s">
        <v>844</v>
      </c>
      <c r="E91" s="988" t="str">
        <f xml:space="preserve"> "Reference Year ("&amp; ref_year &amp; ") Dollars"</f>
        <v>Reference Year (2016) Dollars</v>
      </c>
      <c r="F91"/>
      <c r="G91" s="449"/>
      <c r="H91" s="35"/>
    </row>
    <row r="92" spans="1:8" ht="17.149999999999999" customHeight="1" x14ac:dyDescent="0.25">
      <c r="A92" s="465" t="s">
        <v>179</v>
      </c>
      <c r="B92" s="322" t="s">
        <v>712</v>
      </c>
      <c r="C92" s="1014">
        <f ca="1">0.02*(direct_cap+CO2_seq)/(CEPCIinflator*CPIinflator)</f>
        <v>2696873.8560000001</v>
      </c>
      <c r="D92" s="1036">
        <f t="shared" ref="D92:D98" si="0">CEPCIinflator*CPIinflator</f>
        <v>1.294914314408345</v>
      </c>
      <c r="E92" s="1016">
        <f ca="1">C92*D92</f>
        <v>3492220.5602880302</v>
      </c>
      <c r="F92" s="1002"/>
      <c r="G92" s="1005"/>
    </row>
    <row r="93" spans="1:8" ht="29.25" customHeight="1" x14ac:dyDescent="0.25">
      <c r="A93" s="465" t="s">
        <v>27</v>
      </c>
      <c r="B93" s="321" t="s">
        <v>338</v>
      </c>
      <c r="C93" s="1017">
        <f ca="1">0.1*(direct_cap+CO2_seq)/(CEPCIinflator*CPIinflator)</f>
        <v>13484369.280000001</v>
      </c>
      <c r="D93" s="1037">
        <f t="shared" si="0"/>
        <v>1.294914314408345</v>
      </c>
      <c r="E93" s="1019">
        <f t="shared" ref="E93:E98" ca="1" si="1">C93*D93</f>
        <v>17461102.80144015</v>
      </c>
      <c r="F93" s="1002"/>
      <c r="G93" s="1005"/>
      <c r="H93" s="34"/>
    </row>
    <row r="94" spans="1:8" ht="17.149999999999999" customHeight="1" x14ac:dyDescent="0.25">
      <c r="A94" s="465" t="s">
        <v>171</v>
      </c>
      <c r="B94" s="321" t="s">
        <v>347</v>
      </c>
      <c r="C94" s="1017"/>
      <c r="D94" s="1037">
        <f t="shared" si="0"/>
        <v>1.294914314408345</v>
      </c>
      <c r="E94" s="1019">
        <f t="shared" si="1"/>
        <v>0</v>
      </c>
      <c r="F94" s="1002"/>
      <c r="G94" s="1005"/>
      <c r="H94" s="905"/>
    </row>
    <row r="95" spans="1:8" ht="17.149999999999999" customHeight="1" x14ac:dyDescent="0.25">
      <c r="A95" s="465" t="s">
        <v>173</v>
      </c>
      <c r="B95" s="321" t="s">
        <v>348</v>
      </c>
      <c r="C95" s="1017">
        <f ca="1">0.15*(direct_cap+CO2_seq)/(CEPCIinflator*CPIinflator)</f>
        <v>20226553.920000002</v>
      </c>
      <c r="D95" s="1037">
        <f t="shared" si="0"/>
        <v>1.294914314408345</v>
      </c>
      <c r="E95" s="1019">
        <f t="shared" ca="1" si="1"/>
        <v>26191654.202160224</v>
      </c>
      <c r="F95" s="1002"/>
      <c r="G95" s="1005"/>
      <c r="H95" s="905"/>
    </row>
    <row r="96" spans="1:8" ht="31.5" customHeight="1" x14ac:dyDescent="0.25">
      <c r="A96" s="465" t="s">
        <v>159</v>
      </c>
      <c r="B96" s="321" t="s">
        <v>350</v>
      </c>
      <c r="C96" s="1017"/>
      <c r="D96" s="1037">
        <f t="shared" si="0"/>
        <v>1.294914314408345</v>
      </c>
      <c r="E96" s="1019">
        <f t="shared" si="1"/>
        <v>0</v>
      </c>
      <c r="F96" s="1002"/>
      <c r="G96" s="1005"/>
      <c r="H96" s="34"/>
    </row>
    <row r="97" spans="1:7" ht="17.149999999999999" customHeight="1" x14ac:dyDescent="0.25">
      <c r="A97" s="465" t="s">
        <v>29</v>
      </c>
      <c r="B97" s="321" t="s">
        <v>349</v>
      </c>
      <c r="C97" s="1017"/>
      <c r="D97" s="1037">
        <f t="shared" si="0"/>
        <v>1.294914314408345</v>
      </c>
      <c r="E97" s="1019">
        <f t="shared" si="1"/>
        <v>0</v>
      </c>
      <c r="F97" s="1002"/>
      <c r="G97" s="1005"/>
    </row>
    <row r="98" spans="1:7" ht="21.75" customHeight="1" thickBot="1" x14ac:dyDescent="0.3">
      <c r="A98" s="465" t="s">
        <v>169</v>
      </c>
      <c r="B98" s="322" t="s">
        <v>713</v>
      </c>
      <c r="C98" s="1020">
        <f ca="1">0.15*(direct_cap+CO2_seq)/(CEPCIinflator*CPIinflator)</f>
        <v>20226553.920000002</v>
      </c>
      <c r="D98" s="1038">
        <f t="shared" si="0"/>
        <v>1.294914314408345</v>
      </c>
      <c r="E98" s="1021">
        <f t="shared" ca="1" si="1"/>
        <v>26191654.202160224</v>
      </c>
      <c r="F98" s="1002"/>
      <c r="G98" s="1005"/>
    </row>
    <row r="99" spans="1:7" ht="20.149999999999999" customHeight="1" thickBot="1" x14ac:dyDescent="0.3">
      <c r="A99" s="465" t="s">
        <v>1010</v>
      </c>
      <c r="B99" s="327" t="s">
        <v>979</v>
      </c>
      <c r="C99"/>
      <c r="E99" s="862">
        <f ca="1">direct_cap+CO2_seq+SUM($E$92:$E$98)</f>
        <v>247947659.78045011</v>
      </c>
      <c r="F99" s="1006"/>
      <c r="G99" s="1007"/>
    </row>
    <row r="100" spans="1:7" x14ac:dyDescent="0.25">
      <c r="A100" s="465"/>
      <c r="B100" s="321"/>
      <c r="C100" s="319"/>
      <c r="D100" s="1554" t="s">
        <v>844</v>
      </c>
      <c r="E100"/>
      <c r="F100" s="475"/>
      <c r="G100" s="474"/>
    </row>
    <row r="101" spans="1:7" ht="30.75" customHeight="1" thickBot="1" x14ac:dyDescent="0.35">
      <c r="A101" s="465"/>
      <c r="B101" s="327" t="s">
        <v>351</v>
      </c>
      <c r="C101" s="988" t="str">
        <f>"Enter values in basis year (" &amp; BasisYear &amp; ") dollars"</f>
        <v>Enter values in basis year (2005) dollars</v>
      </c>
      <c r="D101" s="1555"/>
      <c r="E101" s="988" t="str">
        <f xml:space="preserve"> "Reference Year ("&amp; ref_year &amp; ") Dollars"</f>
        <v>Reference Year (2016) Dollars</v>
      </c>
      <c r="F101" s="475"/>
      <c r="G101" s="474"/>
    </row>
    <row r="102" spans="1:7" ht="27.75" customHeight="1" thickBot="1" x14ac:dyDescent="0.3">
      <c r="A102" s="465" t="s">
        <v>1093</v>
      </c>
      <c r="B102" s="321" t="s">
        <v>352</v>
      </c>
      <c r="C102" s="1014">
        <v>50000</v>
      </c>
      <c r="D102" s="1036">
        <f>CPIinflator</f>
        <v>1.100724186648488</v>
      </c>
      <c r="E102" s="999">
        <f>C102*D102</f>
        <v>55036.209332424405</v>
      </c>
      <c r="F102" s="475"/>
      <c r="G102" s="474"/>
    </row>
    <row r="103" spans="1:7" ht="25.5" customHeight="1" thickBot="1" x14ac:dyDescent="0.3">
      <c r="A103" s="465" t="s">
        <v>1094</v>
      </c>
      <c r="B103" s="321" t="s">
        <v>353</v>
      </c>
      <c r="C103" s="1023">
        <v>10</v>
      </c>
      <c r="D103" s="1018">
        <f ca="1">Scale_Factor *1</f>
        <v>1</v>
      </c>
      <c r="E103" s="996">
        <f ca="1">C103*D103</f>
        <v>10</v>
      </c>
      <c r="F103" s="475"/>
      <c r="G103" s="474"/>
    </row>
    <row r="104" spans="1:7" ht="27" customHeight="1" thickBot="1" x14ac:dyDescent="0.3">
      <c r="A104" s="465" t="s">
        <v>1011</v>
      </c>
      <c r="B104" s="321" t="s">
        <v>980</v>
      </c>
      <c r="C104" s="1024"/>
      <c r="D104" s="1024"/>
      <c r="E104" s="862">
        <f ca="1">acre_cost*acres</f>
        <v>550362.09332424402</v>
      </c>
      <c r="F104" s="475"/>
      <c r="G104" s="474"/>
    </row>
    <row r="105" spans="1:7" ht="17.149999999999999" customHeight="1" thickBot="1" x14ac:dyDescent="0.3">
      <c r="A105" s="465"/>
      <c r="B105" s="321" t="s">
        <v>1012</v>
      </c>
      <c r="C105" s="1014"/>
      <c r="D105" s="1036">
        <f>CPIinflator</f>
        <v>1.100724186648488</v>
      </c>
      <c r="E105" s="862">
        <f>C105*D105</f>
        <v>0</v>
      </c>
      <c r="F105" s="1006"/>
      <c r="G105" s="1007"/>
    </row>
    <row r="106" spans="1:7" ht="20.149999999999999" customHeight="1" thickBot="1" x14ac:dyDescent="0.3">
      <c r="A106" s="465" t="s">
        <v>1018</v>
      </c>
      <c r="B106" s="327" t="s">
        <v>981</v>
      </c>
      <c r="C106" s="1024"/>
      <c r="D106" s="1024"/>
      <c r="E106" s="244">
        <f ca="1">land_cost+$E$105</f>
        <v>550362.09332424402</v>
      </c>
      <c r="F106" s="475"/>
      <c r="G106" s="474"/>
    </row>
    <row r="107" spans="1:7" ht="13" thickBot="1" x14ac:dyDescent="0.3">
      <c r="A107" s="465"/>
      <c r="B107" s="321"/>
      <c r="C107" s="319"/>
      <c r="D107" s="1024"/>
      <c r="E107" s="475"/>
      <c r="F107" s="475"/>
      <c r="G107" s="474"/>
    </row>
    <row r="108" spans="1:7" ht="20.149999999999999" customHeight="1" thickBot="1" x14ac:dyDescent="0.3">
      <c r="A108" s="465" t="s">
        <v>1019</v>
      </c>
      <c r="B108" s="327" t="s">
        <v>995</v>
      </c>
      <c r="C108" s="243">
        <f ca="1">(depr_cap+non_dep_cap)*sensitivity_06</f>
        <v>248498021.87377435</v>
      </c>
      <c r="D108" s="1024"/>
      <c r="E108" s="1022"/>
      <c r="F108" s="475"/>
      <c r="G108" s="474"/>
    </row>
    <row r="109" spans="1:7" ht="13" thickBot="1" x14ac:dyDescent="0.3">
      <c r="A109" s="465"/>
      <c r="B109" s="321"/>
      <c r="C109" s="319"/>
      <c r="D109" s="1024"/>
      <c r="E109" s="475"/>
      <c r="F109" s="475"/>
      <c r="G109" s="474"/>
    </row>
    <row r="110" spans="1:7" ht="44.25" customHeight="1" thickTop="1" thickBot="1" x14ac:dyDescent="0.35">
      <c r="A110" s="465"/>
      <c r="B110" s="498" t="s">
        <v>354</v>
      </c>
      <c r="C110" s="1031" t="str">
        <f>"Enter values in basis year (" &amp; BasisYear &amp; ") dollars"</f>
        <v>Enter values in basis year (2005) dollars</v>
      </c>
      <c r="D110" s="1031" t="s">
        <v>844</v>
      </c>
      <c r="E110" s="1031" t="str">
        <f xml:space="preserve"> "Reference Year ("&amp; ref_year &amp; ") Dollars"</f>
        <v>Reference Year (2016) Dollars</v>
      </c>
      <c r="F110" s="499"/>
      <c r="G110" s="501"/>
    </row>
    <row r="111" spans="1:7" s="35" customFormat="1" ht="29.25" customHeight="1" thickBot="1" x14ac:dyDescent="0.3">
      <c r="A111" s="465" t="s">
        <v>1022</v>
      </c>
      <c r="B111" s="322" t="s">
        <v>355</v>
      </c>
      <c r="C111" s="1028">
        <v>20</v>
      </c>
      <c r="D111" s="1015">
        <f ca="1">Scale_Ratio^0.25</f>
        <v>1</v>
      </c>
      <c r="E111" s="1029">
        <f ca="1">C111*D111</f>
        <v>20</v>
      </c>
      <c r="F111" s="1008"/>
      <c r="G111" s="1026"/>
    </row>
    <row r="112" spans="1:7" s="35" customFormat="1" ht="17.25" customHeight="1" thickBot="1" x14ac:dyDescent="0.3">
      <c r="A112" s="465" t="s">
        <v>1023</v>
      </c>
      <c r="B112" s="322" t="s">
        <v>356</v>
      </c>
      <c r="C112" s="1014">
        <v>50</v>
      </c>
      <c r="D112" s="1036">
        <f>VLOOKUP(ref_year,Tbl_labor_indexes,2,FALSE)/VLOOKUP(BasisYear,Tbl_labor_indexes,2,FALSE)</f>
        <v>1.1548042704626329</v>
      </c>
      <c r="E112" s="1001">
        <f>C112*D112</f>
        <v>57.740213523131644</v>
      </c>
      <c r="F112" s="1008"/>
      <c r="G112" s="1026"/>
    </row>
    <row r="113" spans="1:8" s="35" customFormat="1" ht="17.149999999999999" customHeight="1" thickBot="1" x14ac:dyDescent="0.3">
      <c r="A113" s="465" t="s">
        <v>1013</v>
      </c>
      <c r="B113" s="322" t="s">
        <v>996</v>
      </c>
      <c r="C113" s="1024"/>
      <c r="D113" s="1024"/>
      <c r="E113" s="863">
        <f ca="1">FTEs*2080*FTE_cost</f>
        <v>2401992.8825622764</v>
      </c>
      <c r="F113" s="1008"/>
      <c r="G113" s="1026"/>
    </row>
    <row r="114" spans="1:8" s="35" customFormat="1" ht="17.149999999999999" customHeight="1" thickBot="1" x14ac:dyDescent="0.3">
      <c r="A114" s="465" t="s">
        <v>160</v>
      </c>
      <c r="B114" s="322" t="s">
        <v>357</v>
      </c>
      <c r="C114" s="477">
        <v>0.2</v>
      </c>
      <c r="D114" s="1024"/>
      <c r="F114" s="1008"/>
      <c r="G114" s="1026"/>
    </row>
    <row r="115" spans="1:8" s="35" customFormat="1" ht="17.149999999999999" customHeight="1" thickBot="1" x14ac:dyDescent="0.3">
      <c r="A115" s="465" t="s">
        <v>1016</v>
      </c>
      <c r="B115" s="322" t="s">
        <v>989</v>
      </c>
      <c r="C115" s="1024"/>
      <c r="D115" s="1024"/>
      <c r="E115" s="990">
        <f ca="1">labor_cost*overhead_rate</f>
        <v>480398.5765124553</v>
      </c>
      <c r="F115" s="1008"/>
      <c r="G115" s="1026"/>
    </row>
    <row r="116" spans="1:8" s="35" customFormat="1" ht="17.149999999999999" customHeight="1" thickBot="1" x14ac:dyDescent="0.3">
      <c r="A116" s="465" t="s">
        <v>31</v>
      </c>
      <c r="B116" s="322" t="s">
        <v>358</v>
      </c>
      <c r="C116" s="1014">
        <v>0</v>
      </c>
      <c r="D116" s="1036">
        <f ca="1">Scale_Factor *CEPCIinflator*CPIinflator</f>
        <v>1.294914314408345</v>
      </c>
      <c r="E116" s="997">
        <f ca="1">C116*D116</f>
        <v>0</v>
      </c>
      <c r="F116" s="1008"/>
      <c r="G116" s="1026"/>
    </row>
    <row r="117" spans="1:8" s="35" customFormat="1" ht="26.25" customHeight="1" thickBot="1" x14ac:dyDescent="0.3">
      <c r="A117" s="465" t="s">
        <v>186</v>
      </c>
      <c r="B117" s="322" t="s">
        <v>1097</v>
      </c>
      <c r="C117" s="998">
        <v>0.02</v>
      </c>
      <c r="D117" s="1039"/>
      <c r="F117" s="1008"/>
      <c r="G117" s="1026"/>
    </row>
    <row r="118" spans="1:8" s="35" customFormat="1" ht="17.149999999999999" customHeight="1" thickBot="1" x14ac:dyDescent="0.3">
      <c r="A118" s="465" t="s">
        <v>1014</v>
      </c>
      <c r="B118" s="321" t="s">
        <v>994</v>
      </c>
      <c r="C118" s="1024"/>
      <c r="D118" s="1039"/>
      <c r="E118" s="900">
        <f ca="1">tax_ins_rate*total_cap</f>
        <v>4969960.4374754867</v>
      </c>
      <c r="F118" s="1008"/>
      <c r="G118" s="1026"/>
    </row>
    <row r="119" spans="1:8" s="35" customFormat="1" ht="17.149999999999999" customHeight="1" thickBot="1" x14ac:dyDescent="0.3">
      <c r="A119" s="465" t="s">
        <v>175</v>
      </c>
      <c r="B119" s="321" t="s">
        <v>359</v>
      </c>
      <c r="C119" s="1014">
        <v>0</v>
      </c>
      <c r="D119" s="1036">
        <f ca="1">Scale_Factor *CPIinflator</f>
        <v>1.100724186648488</v>
      </c>
      <c r="E119" s="999">
        <f ca="1">C119*D119</f>
        <v>0</v>
      </c>
      <c r="F119" s="1008"/>
      <c r="G119" s="1026"/>
    </row>
    <row r="120" spans="1:8" s="35" customFormat="1" ht="27" customHeight="1" thickBot="1" x14ac:dyDescent="0.3">
      <c r="A120" s="465" t="s">
        <v>1024</v>
      </c>
      <c r="B120" s="322" t="s">
        <v>360</v>
      </c>
      <c r="C120" s="1014">
        <v>810097</v>
      </c>
      <c r="D120" s="1036">
        <f ca="1">Scale_Factor *CEPCIinflator*CPIinflator</f>
        <v>1.294914314408345</v>
      </c>
      <c r="E120" s="1000">
        <f ca="1">C120*D120</f>
        <v>1049006.2013592571</v>
      </c>
      <c r="F120" s="1008"/>
      <c r="G120" s="1026"/>
      <c r="H120" s="835"/>
    </row>
    <row r="121" spans="1:8" s="35" customFormat="1" ht="17.149999999999999" customHeight="1" thickBot="1" x14ac:dyDescent="0.3">
      <c r="A121" s="465" t="s">
        <v>172</v>
      </c>
      <c r="B121" s="322" t="s">
        <v>361</v>
      </c>
      <c r="C121" s="1014">
        <v>0</v>
      </c>
      <c r="D121" s="1036">
        <f ca="1">Scale_Factor *CEPCIinflator*CPIinflator</f>
        <v>1.294914314408345</v>
      </c>
      <c r="E121" s="991">
        <f ca="1">C121*D121</f>
        <v>0</v>
      </c>
      <c r="F121" s="1008"/>
      <c r="G121" s="1026"/>
    </row>
    <row r="122" spans="1:8" s="35" customFormat="1" ht="17.149999999999999" customHeight="1" thickBot="1" x14ac:dyDescent="0.3">
      <c r="A122" s="465" t="s">
        <v>157</v>
      </c>
      <c r="B122" s="321" t="s">
        <v>362</v>
      </c>
      <c r="C122" s="1014">
        <v>0</v>
      </c>
      <c r="D122" s="1036">
        <f ca="1">Scale_Ratio * CEPCIinflator*CPIinflator</f>
        <v>1.294914314408345</v>
      </c>
      <c r="E122" s="509">
        <f ca="1">C122*D122</f>
        <v>0</v>
      </c>
      <c r="F122" s="1008"/>
      <c r="G122" s="1026"/>
    </row>
    <row r="123" spans="1:8" s="35" customFormat="1" ht="17.149999999999999" customHeight="1" thickBot="1" x14ac:dyDescent="0.3">
      <c r="A123" s="465" t="s">
        <v>158</v>
      </c>
      <c r="B123" s="321" t="s">
        <v>363</v>
      </c>
      <c r="C123" s="1014">
        <v>0</v>
      </c>
      <c r="D123" s="1036">
        <f ca="1">Scale_Factor *CEPCIinflator*CPIinflator</f>
        <v>1.294914314408345</v>
      </c>
      <c r="E123" s="244">
        <f ca="1">C123*D123</f>
        <v>0</v>
      </c>
      <c r="F123" s="1008"/>
      <c r="G123" s="1026"/>
    </row>
    <row r="124" spans="1:8" s="35" customFormat="1" ht="24" customHeight="1" thickBot="1" x14ac:dyDescent="0.3">
      <c r="A124" s="465" t="s">
        <v>1015</v>
      </c>
      <c r="B124" s="327" t="s">
        <v>997</v>
      </c>
      <c r="C124" s="1024"/>
      <c r="D124" s="1024"/>
      <c r="E124" s="862">
        <f ca="1">(labor_cost+overhead_GA+tax_insurance+licensing+SUM(E119:E123))*sensitivity_07</f>
        <v>8901358.0979094766</v>
      </c>
      <c r="F124" s="1025"/>
      <c r="G124" s="1027"/>
    </row>
    <row r="125" spans="1:8" s="35" customFormat="1" ht="13" thickBot="1" x14ac:dyDescent="0.3">
      <c r="A125" s="465"/>
      <c r="B125" s="322"/>
      <c r="C125" s="325"/>
      <c r="D125" s="512"/>
      <c r="E125" s="319"/>
      <c r="F125" s="319"/>
      <c r="G125" s="320"/>
    </row>
    <row r="126" spans="1:8" s="35" customFormat="1" ht="26.25" customHeight="1" thickTop="1" thickBot="1" x14ac:dyDescent="0.3">
      <c r="A126" s="465"/>
      <c r="B126" s="491" t="s">
        <v>948</v>
      </c>
      <c r="C126" s="492"/>
      <c r="D126" s="493"/>
      <c r="E126" s="494"/>
      <c r="F126" s="493"/>
      <c r="G126" s="495"/>
    </row>
    <row r="127" spans="1:8" customFormat="1" ht="15" customHeight="1" thickTop="1" x14ac:dyDescent="0.3">
      <c r="A127" s="465"/>
      <c r="B127" s="506" t="s">
        <v>1044</v>
      </c>
      <c r="C127" s="507"/>
      <c r="D127" s="507"/>
      <c r="E127" s="507"/>
      <c r="F127" s="507"/>
      <c r="G127" s="508"/>
    </row>
    <row r="128" spans="1:8" customFormat="1" ht="15" customHeight="1" x14ac:dyDescent="0.25">
      <c r="A128" s="465"/>
      <c r="B128" s="450"/>
      <c r="C128" s="448"/>
      <c r="D128" s="448"/>
      <c r="E128" s="448"/>
      <c r="F128" s="448"/>
      <c r="G128" s="449"/>
    </row>
    <row r="129" spans="1:7" customFormat="1" ht="24" customHeight="1" thickBot="1" x14ac:dyDescent="0.3">
      <c r="A129" s="465"/>
      <c r="B129" s="432" t="s">
        <v>1051</v>
      </c>
      <c r="C129" s="448"/>
      <c r="D129" s="448"/>
      <c r="E129" s="448"/>
      <c r="F129" s="448"/>
      <c r="G129" s="449"/>
    </row>
    <row r="130" spans="1:7" customFormat="1" ht="24" customHeight="1" thickBot="1" x14ac:dyDescent="0.3">
      <c r="A130" s="465"/>
      <c r="B130" s="476" t="s">
        <v>1045</v>
      </c>
      <c r="C130" s="448"/>
      <c r="D130" s="448"/>
      <c r="E130" s="448"/>
      <c r="F130" s="448"/>
      <c r="G130" s="449"/>
    </row>
    <row r="131" spans="1:7" customFormat="1" ht="24" customHeight="1" thickBot="1" x14ac:dyDescent="0.3">
      <c r="A131" s="465"/>
      <c r="B131" s="454" t="s">
        <v>1072</v>
      </c>
      <c r="C131" s="1550" t="str">
        <f>B130</f>
        <v>Cooling Water</v>
      </c>
      <c r="D131" s="1551"/>
      <c r="E131" s="448"/>
      <c r="F131" s="448"/>
      <c r="G131" s="449"/>
    </row>
    <row r="132" spans="1:7" customFormat="1" ht="18.75" customHeight="1" thickBot="1" x14ac:dyDescent="0.3">
      <c r="A132" s="465"/>
      <c r="B132" s="437" t="str">
        <f ca="1">"$(" &amp; ref_year &amp; ")/ " &amp; VLOOKUP(TMP_NonE_Feed,Tbl_Other_Inputs_and_Byproducts,2,FALSE)</f>
        <v>$(2016)/ gal</v>
      </c>
      <c r="C132" s="481">
        <f ca="1">HLOOKUP(startup_year,Tbl_Other_Inputs_and_Byproducts,MATCH(TMP_NonE_Feed,Other_Inputs_List,0),FALSE)</f>
        <v>1.1334993860117458E-4</v>
      </c>
      <c r="D132" s="448"/>
      <c r="E132" s="448"/>
      <c r="F132" s="448"/>
      <c r="G132" s="449"/>
    </row>
    <row r="133" spans="1:7" customFormat="1" ht="18" customHeight="1" thickBot="1" x14ac:dyDescent="0.3">
      <c r="A133" s="465"/>
      <c r="B133" s="442" t="str">
        <f>IF(TMP_NonE_Type="Feed or utility","Usage per kg H2","Production per kg H2")</f>
        <v>Usage per kg H2</v>
      </c>
      <c r="C133" s="478"/>
      <c r="D133" s="448"/>
      <c r="E133" s="448"/>
      <c r="F133" s="448"/>
      <c r="G133" s="449"/>
    </row>
    <row r="134" spans="1:7" customFormat="1" ht="19.5" customHeight="1" thickBot="1" x14ac:dyDescent="0.3">
      <c r="A134" s="465"/>
      <c r="B134" s="442" t="str">
        <f>IF(TMP_NonE_Type = "Feed or utility", "Cost in Startup Year","Income in Startup Year")</f>
        <v>Cost in Startup Year</v>
      </c>
      <c r="C134" s="453">
        <f ca="1">design_cap*365*cap_factor*TMP_NonE_Usage*TMP_NonE_StartPrice</f>
        <v>0</v>
      </c>
      <c r="D134" s="448"/>
      <c r="E134" s="448"/>
      <c r="F134" s="448"/>
      <c r="G134" s="449"/>
    </row>
    <row r="135" spans="1:7" customFormat="1" ht="24" customHeight="1" thickBot="1" x14ac:dyDescent="0.3">
      <c r="A135" s="465"/>
      <c r="B135" s="451" t="s">
        <v>262</v>
      </c>
      <c r="C135" s="455" t="s">
        <v>23</v>
      </c>
      <c r="D135" s="452"/>
      <c r="E135" s="452"/>
      <c r="F135" s="452"/>
      <c r="G135" s="444"/>
    </row>
    <row r="136" spans="1:7" customFormat="1" ht="24" customHeight="1" x14ac:dyDescent="0.25">
      <c r="A136" s="468" t="s">
        <v>1053</v>
      </c>
      <c r="B136" s="328"/>
      <c r="C136" s="329"/>
      <c r="D136" s="329"/>
      <c r="E136" s="330"/>
      <c r="F136" s="329"/>
      <c r="G136" s="331"/>
    </row>
    <row r="137" spans="1:7" customFormat="1" ht="24" customHeight="1" x14ac:dyDescent="0.25">
      <c r="A137" s="468"/>
      <c r="B137" s="328" t="s">
        <v>1072</v>
      </c>
      <c r="C137" s="329" t="s">
        <v>1302</v>
      </c>
      <c r="D137" s="329" t="s">
        <v>837</v>
      </c>
      <c r="E137" s="330" t="s">
        <v>834</v>
      </c>
      <c r="F137" s="329" t="s">
        <v>262</v>
      </c>
      <c r="G137" s="331"/>
    </row>
    <row r="138" spans="1:7" customFormat="1" ht="24" customHeight="1" x14ac:dyDescent="0.25">
      <c r="A138" s="468"/>
      <c r="B138" s="328" t="s">
        <v>1046</v>
      </c>
      <c r="C138" s="329">
        <v>7.1248532835024025E-3</v>
      </c>
      <c r="D138" s="329">
        <v>3.355</v>
      </c>
      <c r="E138" s="330">
        <v>2979108.1488740137</v>
      </c>
      <c r="F138" s="329" t="s">
        <v>23</v>
      </c>
      <c r="G138" s="331"/>
    </row>
    <row r="139" spans="1:7" customFormat="1" ht="24" customHeight="1" x14ac:dyDescent="0.25">
      <c r="A139" s="468"/>
      <c r="B139" s="328" t="s">
        <v>1072</v>
      </c>
      <c r="C139" s="329" t="s">
        <v>1302</v>
      </c>
      <c r="D139" s="329" t="s">
        <v>837</v>
      </c>
      <c r="E139" s="330" t="s">
        <v>834</v>
      </c>
      <c r="F139" s="329" t="s">
        <v>262</v>
      </c>
      <c r="G139" s="331"/>
    </row>
    <row r="140" spans="1:7" customFormat="1" ht="24" customHeight="1" x14ac:dyDescent="0.25">
      <c r="A140" s="468"/>
      <c r="B140" s="328" t="s">
        <v>1045</v>
      </c>
      <c r="C140" s="329">
        <v>1.1334993860117458E-4</v>
      </c>
      <c r="D140" s="329">
        <v>1.4950000000000001</v>
      </c>
      <c r="E140" s="330">
        <v>21119.338015151436</v>
      </c>
      <c r="F140" s="329" t="s">
        <v>23</v>
      </c>
      <c r="G140" s="331"/>
    </row>
    <row r="141" spans="1:7" customFormat="1" ht="16" customHeight="1" x14ac:dyDescent="0.25">
      <c r="A141" s="465" t="s">
        <v>1054</v>
      </c>
      <c r="B141" s="328"/>
      <c r="C141" s="334"/>
      <c r="D141" s="334"/>
      <c r="E141" s="335"/>
      <c r="F141" s="334"/>
      <c r="G141" s="331"/>
    </row>
    <row r="142" spans="1:7" customFormat="1" ht="16" customHeight="1" thickBot="1" x14ac:dyDescent="0.3">
      <c r="A142" s="465" t="s">
        <v>1055</v>
      </c>
      <c r="B142" s="328"/>
      <c r="C142" s="329"/>
      <c r="D142" s="329"/>
      <c r="E142" s="335"/>
      <c r="F142" s="329"/>
      <c r="G142" s="331"/>
    </row>
    <row r="143" spans="1:7" customFormat="1" ht="17.149999999999999" customHeight="1" thickBot="1" x14ac:dyDescent="0.3">
      <c r="A143" s="465"/>
      <c r="B143" s="333" t="s">
        <v>862</v>
      </c>
      <c r="C143" s="245">
        <f>SUM(Dynamic_NonE_Feed_Total)</f>
        <v>3000227.4868891649</v>
      </c>
      <c r="D143" s="472"/>
      <c r="E143" s="1556"/>
      <c r="F143" s="1556"/>
      <c r="G143" s="1548"/>
    </row>
    <row r="144" spans="1:7" customFormat="1" ht="17.149999999999999" customHeight="1" thickBot="1" x14ac:dyDescent="0.3">
      <c r="A144" s="465" t="s">
        <v>257</v>
      </c>
      <c r="B144" s="333" t="s">
        <v>279</v>
      </c>
      <c r="C144" s="245">
        <f>SUM(Dynamic_NonE_Byprod_Total)</f>
        <v>0</v>
      </c>
      <c r="D144" s="472"/>
      <c r="E144" s="1556"/>
      <c r="F144" s="1556"/>
      <c r="G144" s="1548"/>
    </row>
    <row r="145" spans="1:7" customFormat="1" ht="26.5" customHeight="1" thickBot="1" x14ac:dyDescent="0.3">
      <c r="A145" s="465"/>
      <c r="B145" s="333"/>
      <c r="C145" s="329"/>
      <c r="D145" s="479"/>
      <c r="E145" s="1556"/>
      <c r="F145" s="1556"/>
      <c r="G145" s="1548"/>
    </row>
    <row r="146" spans="1:7" customFormat="1" ht="17.149999999999999" customHeight="1" thickBot="1" x14ac:dyDescent="0.3">
      <c r="A146" s="465" t="s">
        <v>250</v>
      </c>
      <c r="B146" s="327" t="s">
        <v>253</v>
      </c>
      <c r="C146" s="243">
        <f ca="1">Total_Energy_Feed_Cost</f>
        <v>53513260.754973277</v>
      </c>
      <c r="D146" s="472"/>
      <c r="E146" s="1552"/>
      <c r="F146" s="1552"/>
      <c r="G146" s="1553"/>
    </row>
    <row r="147" spans="1:7" customFormat="1" ht="17.149999999999999" customHeight="1" thickBot="1" x14ac:dyDescent="0.3">
      <c r="A147" s="465" t="s">
        <v>664</v>
      </c>
      <c r="B147" s="327" t="s">
        <v>254</v>
      </c>
      <c r="C147" s="243">
        <f ca="1">Total_Energy_Utilities_Cost+Total_Non_Energy_Feed_Cost</f>
        <v>6652766.7795896921</v>
      </c>
      <c r="D147" s="472"/>
      <c r="E147" s="1552"/>
      <c r="F147" s="1552"/>
      <c r="G147" s="1553"/>
    </row>
    <row r="148" spans="1:7" customFormat="1" ht="31.5" customHeight="1" thickBot="1" x14ac:dyDescent="0.3">
      <c r="A148" s="465" t="s">
        <v>665</v>
      </c>
      <c r="B148" s="327" t="s">
        <v>255</v>
      </c>
      <c r="C148" s="509">
        <f>Total_Energy_Byproduct_Credit+total_non_energy_byproduct_credit</f>
        <v>0</v>
      </c>
      <c r="D148" s="472"/>
      <c r="E148" s="1560"/>
      <c r="F148" s="1560"/>
      <c r="G148" s="1561"/>
    </row>
    <row r="149" spans="1:7" customFormat="1" ht="45.75" customHeight="1" thickTop="1" thickBot="1" x14ac:dyDescent="0.35">
      <c r="A149" s="465"/>
      <c r="B149" s="506" t="s">
        <v>816</v>
      </c>
      <c r="C149" s="1031" t="str">
        <f>"Enter values in basis year (" &amp; BasisYear &amp; ") dollars"</f>
        <v>Enter values in basis year (2005) dollars</v>
      </c>
      <c r="D149" s="1031" t="s">
        <v>844</v>
      </c>
      <c r="E149" s="1031" t="str">
        <f xml:space="preserve"> "Reference Year ("&amp; ref_year &amp; ") Dollars"</f>
        <v>Reference Year (2016) Dollars</v>
      </c>
      <c r="F149" s="510"/>
      <c r="G149" s="511"/>
    </row>
    <row r="150" spans="1:7" s="35" customFormat="1" ht="39" customHeight="1" thickBot="1" x14ac:dyDescent="0.3">
      <c r="A150" s="465" t="s">
        <v>187</v>
      </c>
      <c r="B150" s="321" t="s">
        <v>364</v>
      </c>
      <c r="C150" s="1014">
        <v>2123000</v>
      </c>
      <c r="D150" s="1036">
        <f ca="1">Scale_Ratio * VLOOKUP(ref_year,Chemical_price_indexes,2,FALSE)/VLOOKUP(BasisYear,Chemical_price_indexes,2,FALSE)</f>
        <v>1.4260544580886279</v>
      </c>
      <c r="E150" s="509">
        <f ca="1">C150*D150</f>
        <v>3027513.6145221568</v>
      </c>
      <c r="F150" s="1559"/>
      <c r="G150" s="1524"/>
    </row>
    <row r="151" spans="1:7" s="35" customFormat="1" ht="38.25" customHeight="1" thickBot="1" x14ac:dyDescent="0.3">
      <c r="A151" s="465" t="s">
        <v>280</v>
      </c>
      <c r="B151" s="612" t="s">
        <v>929</v>
      </c>
      <c r="C151" s="1014">
        <v>0</v>
      </c>
      <c r="D151" s="1036">
        <f ca="1">Scale_Ratio * VLOOKUP(ref_year,Chemical_price_indexes,2,FALSE)/VLOOKUP(BasisYear,Chemical_price_indexes,2,FALSE)</f>
        <v>1.4260544580886279</v>
      </c>
      <c r="E151" s="509">
        <f ca="1">C151*D151</f>
        <v>0</v>
      </c>
      <c r="F151" s="1008"/>
      <c r="G151" s="1026"/>
    </row>
    <row r="152" spans="1:7" s="35" customFormat="1" ht="17.149999999999999" customHeight="1" thickBot="1" x14ac:dyDescent="0.3">
      <c r="A152" s="465" t="s">
        <v>188</v>
      </c>
      <c r="B152" s="322" t="s">
        <v>365</v>
      </c>
      <c r="C152" s="1014">
        <v>0</v>
      </c>
      <c r="D152" s="1036">
        <f ca="1">Scale_Ratio * VLOOKUP(ref_year,Chemical_price_indexes,2,FALSE)/VLOOKUP(BasisYear,Chemical_price_indexes,2,FALSE)</f>
        <v>1.4260544580886279</v>
      </c>
      <c r="E152" s="509">
        <f ca="1">C152*D152</f>
        <v>0</v>
      </c>
      <c r="F152" s="1008"/>
      <c r="G152" s="1026"/>
    </row>
    <row r="153" spans="1:7" s="35" customFormat="1" ht="17.149999999999999" customHeight="1" thickBot="1" x14ac:dyDescent="0.3">
      <c r="A153" s="465" t="s">
        <v>180</v>
      </c>
      <c r="B153" s="322" t="s">
        <v>366</v>
      </c>
      <c r="C153" s="1014">
        <v>0</v>
      </c>
      <c r="D153" s="1036">
        <f ca="1">Scale_Ratio * VLOOKUP(ref_year,Chemical_price_indexes,2,FALSE)/VLOOKUP(BasisYear,Chemical_price_indexes,2,FALSE)</f>
        <v>1.4260544580886279</v>
      </c>
      <c r="E153" s="509">
        <f ca="1">C153*D153</f>
        <v>0</v>
      </c>
      <c r="F153" s="1008"/>
      <c r="G153" s="1026"/>
    </row>
    <row r="154" spans="1:7" s="35" customFormat="1" ht="28.5" customHeight="1" thickBot="1" x14ac:dyDescent="0.3">
      <c r="A154" s="465" t="s">
        <v>176</v>
      </c>
      <c r="B154" s="322" t="s">
        <v>367</v>
      </c>
      <c r="C154" s="1271">
        <v>5.0000000000000001E-3</v>
      </c>
      <c r="D154"/>
      <c r="E154" s="1557" t="s">
        <v>1205</v>
      </c>
      <c r="F154" s="1557"/>
      <c r="G154" s="1558"/>
    </row>
    <row r="155" spans="1:7" s="35" customFormat="1" ht="17.149999999999999" customHeight="1" thickBot="1" x14ac:dyDescent="0.3">
      <c r="A155" s="465" t="s">
        <v>177</v>
      </c>
      <c r="B155" s="322" t="s">
        <v>368</v>
      </c>
      <c r="C155" s="1014">
        <v>0</v>
      </c>
      <c r="D155" s="1036">
        <f ca="1">Scale_Ratio * CPIinflator</f>
        <v>1.100724186648488</v>
      </c>
      <c r="E155" s="1000">
        <v>0</v>
      </c>
      <c r="F155" s="1008"/>
      <c r="G155" s="1026"/>
    </row>
    <row r="156" spans="1:7" s="35" customFormat="1" ht="17.149999999999999" customHeight="1" thickBot="1" x14ac:dyDescent="0.3">
      <c r="A156" s="465" t="s">
        <v>156</v>
      </c>
      <c r="B156" s="322" t="s">
        <v>369</v>
      </c>
      <c r="C156" s="1014">
        <v>0</v>
      </c>
      <c r="D156" s="1036">
        <f ca="1">Scale_Ratio * CPIinflator</f>
        <v>1.100724186648488</v>
      </c>
      <c r="E156" s="1000">
        <v>0</v>
      </c>
      <c r="F156" s="1008"/>
      <c r="G156" s="1026"/>
    </row>
    <row r="157" spans="1:7" s="35" customFormat="1" ht="17.149999999999999" customHeight="1" thickBot="1" x14ac:dyDescent="0.3">
      <c r="A157" s="465" t="s">
        <v>185</v>
      </c>
      <c r="B157" s="322" t="s">
        <v>370</v>
      </c>
      <c r="C157" s="1014">
        <v>0</v>
      </c>
      <c r="D157" s="1036">
        <f ca="1">Scale_Ratio * CPIinflator</f>
        <v>1.100724186648488</v>
      </c>
      <c r="E157" s="1000">
        <v>0</v>
      </c>
      <c r="F157" s="1012"/>
      <c r="G157" s="1013"/>
    </row>
    <row r="158" spans="1:7" s="35" customFormat="1" ht="17.149999999999999" customHeight="1" thickBot="1" x14ac:dyDescent="0.3">
      <c r="A158" s="465" t="s">
        <v>9</v>
      </c>
      <c r="B158" s="322" t="s">
        <v>960</v>
      </c>
      <c r="C158"/>
      <c r="D158" s="1040"/>
      <c r="E158" s="1000">
        <f>Det_CO2_OandMcost</f>
        <v>0</v>
      </c>
      <c r="F158" s="1012"/>
      <c r="G158" s="1548"/>
    </row>
    <row r="159" spans="1:7" s="35" customFormat="1" ht="17.149999999999999" customHeight="1" thickBot="1" x14ac:dyDescent="0.3">
      <c r="A159" s="465"/>
      <c r="B159" s="322" t="s">
        <v>957</v>
      </c>
      <c r="C159" s="1014">
        <v>0</v>
      </c>
      <c r="D159" s="1036">
        <f>CPIinflator</f>
        <v>1.100724186648488</v>
      </c>
      <c r="E159" s="1000">
        <v>0</v>
      </c>
      <c r="F159" s="1012"/>
      <c r="G159" s="1548"/>
    </row>
    <row r="160" spans="1:7" s="35" customFormat="1" ht="17.149999999999999" customHeight="1" thickBot="1" x14ac:dyDescent="0.3">
      <c r="A160" s="465"/>
      <c r="B160" s="322" t="s">
        <v>956</v>
      </c>
      <c r="C160"/>
      <c r="D160" s="1040"/>
      <c r="E160" s="830">
        <f ca="1">ROUND(Proc_CO2_tax*12/44*Proc_CO2_MTpY,-2)</f>
        <v>0</v>
      </c>
      <c r="F160" s="1012"/>
      <c r="G160" s="1548"/>
    </row>
    <row r="161" spans="1:7" s="35" customFormat="1" ht="17.149999999999999" customHeight="1" thickBot="1" x14ac:dyDescent="0.3">
      <c r="A161" s="465"/>
      <c r="B161" s="322" t="s">
        <v>958</v>
      </c>
      <c r="C161" s="1014">
        <v>0</v>
      </c>
      <c r="D161" s="1036">
        <f>CPIinflator</f>
        <v>1.100724186648488</v>
      </c>
      <c r="E161" s="830">
        <v>0</v>
      </c>
      <c r="F161" s="1012"/>
      <c r="G161" s="1548"/>
    </row>
    <row r="162" spans="1:7" s="35" customFormat="1" ht="17.149999999999999" customHeight="1" thickBot="1" x14ac:dyDescent="0.3">
      <c r="A162" s="465"/>
      <c r="B162" s="322" t="s">
        <v>959</v>
      </c>
      <c r="C162" s="1034"/>
      <c r="D162" s="1035"/>
      <c r="E162" s="830">
        <f ca="1">ROUND(Upstream_CO2_tax/1000*Upstream_GHG_total*output_kgyear,2)</f>
        <v>0</v>
      </c>
      <c r="F162" s="826"/>
      <c r="G162" s="1548"/>
    </row>
    <row r="163" spans="1:7" s="35" customFormat="1" ht="23.25" customHeight="1" thickBot="1" x14ac:dyDescent="0.3">
      <c r="A163" s="465" t="s">
        <v>260</v>
      </c>
      <c r="B163" s="336" t="s">
        <v>258</v>
      </c>
      <c r="C163" s="1032"/>
      <c r="D163" s="1033"/>
      <c r="E163" s="832">
        <f ca="1">ROUND(total_feedstock+total_utilities+total_other_raw-total_byproducts+var_misc+waste_treat+solidwaste_treat+royalties+operator_profit-tax_credit+CO2_OandMcost+Proc_CO2_taxpYear + Upstream_CO2_taxpYear,-2)</f>
        <v>63193500</v>
      </c>
      <c r="F163" s="1030"/>
      <c r="G163" s="1549"/>
    </row>
    <row r="164" spans="1:7" s="35" customFormat="1" x14ac:dyDescent="0.25">
      <c r="A164" s="464"/>
    </row>
    <row r="165" spans="1:7" s="35" customFormat="1" x14ac:dyDescent="0.25">
      <c r="A165" s="464"/>
    </row>
    <row r="166" spans="1:7" s="35" customFormat="1" x14ac:dyDescent="0.25">
      <c r="A166" s="464"/>
    </row>
    <row r="167" spans="1:7" s="35" customFormat="1" x14ac:dyDescent="0.25">
      <c r="A167" s="464"/>
    </row>
    <row r="168" spans="1:7" s="35" customFormat="1" x14ac:dyDescent="0.25">
      <c r="A168" s="464"/>
    </row>
    <row r="169" spans="1:7" s="35" customFormat="1" x14ac:dyDescent="0.25">
      <c r="A169" s="464"/>
    </row>
    <row r="170" spans="1:7" s="35" customFormat="1" x14ac:dyDescent="0.25">
      <c r="A170" s="464"/>
    </row>
    <row r="171" spans="1:7" s="35" customFormat="1" x14ac:dyDescent="0.25">
      <c r="A171" s="464"/>
    </row>
    <row r="172" spans="1:7" s="35" customFormat="1" x14ac:dyDescent="0.25">
      <c r="A172" s="464"/>
    </row>
    <row r="173" spans="1:7" s="35" customFormat="1" x14ac:dyDescent="0.25">
      <c r="A173" s="464"/>
    </row>
    <row r="174" spans="1:7" s="35" customFormat="1" x14ac:dyDescent="0.25">
      <c r="A174" s="464"/>
    </row>
    <row r="175" spans="1:7" s="35" customFormat="1" x14ac:dyDescent="0.25">
      <c r="A175" s="464"/>
    </row>
    <row r="176" spans="1:7" s="35" customFormat="1" x14ac:dyDescent="0.25">
      <c r="A176" s="464"/>
    </row>
    <row r="177" spans="1:4" s="35" customFormat="1" x14ac:dyDescent="0.25">
      <c r="A177" s="464"/>
    </row>
    <row r="178" spans="1:4" s="35" customFormat="1" x14ac:dyDescent="0.25">
      <c r="A178" s="464"/>
    </row>
    <row r="179" spans="1:4" s="35" customFormat="1" x14ac:dyDescent="0.25">
      <c r="A179" s="464"/>
    </row>
    <row r="180" spans="1:4" s="35" customFormat="1" x14ac:dyDescent="0.25">
      <c r="A180" s="464"/>
    </row>
    <row r="181" spans="1:4" s="35" customFormat="1" x14ac:dyDescent="0.25">
      <c r="A181" s="464"/>
    </row>
    <row r="182" spans="1:4" s="35" customFormat="1" x14ac:dyDescent="0.25">
      <c r="A182" s="464"/>
    </row>
    <row r="183" spans="1:4" s="35" customFormat="1" x14ac:dyDescent="0.25">
      <c r="A183" s="464"/>
    </row>
    <row r="184" spans="1:4" s="35" customFormat="1" x14ac:dyDescent="0.25">
      <c r="A184" s="464"/>
    </row>
    <row r="185" spans="1:4" s="35" customFormat="1" x14ac:dyDescent="0.25">
      <c r="A185" s="464"/>
    </row>
    <row r="186" spans="1:4" s="35" customFormat="1" x14ac:dyDescent="0.25">
      <c r="A186" s="464"/>
    </row>
    <row r="187" spans="1:4" s="35" customFormat="1" x14ac:dyDescent="0.25">
      <c r="A187" s="464"/>
    </row>
    <row r="188" spans="1:4" s="35" customFormat="1" x14ac:dyDescent="0.25">
      <c r="A188" s="464"/>
    </row>
    <row r="189" spans="1:4" s="35" customFormat="1" x14ac:dyDescent="0.25">
      <c r="A189" s="464"/>
    </row>
    <row r="190" spans="1:4" s="35" customFormat="1" x14ac:dyDescent="0.25">
      <c r="A190" s="464"/>
      <c r="B190" s="29"/>
      <c r="C190" s="34"/>
      <c r="D190" s="29"/>
    </row>
    <row r="191" spans="1:4" s="35" customFormat="1" x14ac:dyDescent="0.25">
      <c r="A191" s="464"/>
      <c r="B191" s="29"/>
      <c r="C191" s="34"/>
      <c r="D191" s="29"/>
    </row>
    <row r="192" spans="1:4" s="35" customFormat="1" x14ac:dyDescent="0.25">
      <c r="A192" s="464"/>
      <c r="B192" s="29"/>
      <c r="C192" s="34"/>
      <c r="D192" s="29"/>
    </row>
    <row r="193" spans="1:4" s="35" customFormat="1" x14ac:dyDescent="0.25">
      <c r="A193" s="464"/>
      <c r="B193" s="29"/>
      <c r="C193" s="34"/>
      <c r="D193" s="29"/>
    </row>
    <row r="194" spans="1:4" s="35" customFormat="1" x14ac:dyDescent="0.25">
      <c r="A194" s="464"/>
      <c r="B194" s="29"/>
      <c r="C194" s="34"/>
      <c r="D194" s="29"/>
    </row>
    <row r="195" spans="1:4" s="35" customFormat="1" x14ac:dyDescent="0.25">
      <c r="A195" s="464"/>
      <c r="B195" s="29"/>
      <c r="C195" s="34"/>
      <c r="D195" s="29"/>
    </row>
    <row r="196" spans="1:4" s="35" customFormat="1" x14ac:dyDescent="0.25">
      <c r="A196" s="464"/>
      <c r="B196" s="29"/>
      <c r="C196" s="34"/>
      <c r="D196" s="29"/>
    </row>
    <row r="197" spans="1:4" s="35" customFormat="1" x14ac:dyDescent="0.25">
      <c r="A197" s="464"/>
      <c r="B197" s="29"/>
      <c r="C197" s="34"/>
      <c r="D197" s="29"/>
    </row>
    <row r="198" spans="1:4" s="35" customFormat="1" x14ac:dyDescent="0.25">
      <c r="A198" s="464"/>
      <c r="B198" s="29"/>
      <c r="C198" s="34"/>
      <c r="D198" s="29"/>
    </row>
    <row r="199" spans="1:4" s="35" customFormat="1" x14ac:dyDescent="0.25">
      <c r="A199" s="464"/>
      <c r="B199" s="29"/>
      <c r="C199" s="34"/>
      <c r="D199" s="29"/>
    </row>
    <row r="200" spans="1:4" s="35" customFormat="1" x14ac:dyDescent="0.25">
      <c r="A200" s="464"/>
      <c r="B200" s="29"/>
      <c r="C200" s="34"/>
      <c r="D200" s="29"/>
    </row>
    <row r="201" spans="1:4" s="35" customFormat="1" x14ac:dyDescent="0.25">
      <c r="A201" s="464"/>
      <c r="B201" s="29"/>
      <c r="C201" s="34"/>
      <c r="D201" s="29"/>
    </row>
    <row r="202" spans="1:4" s="35" customFormat="1" x14ac:dyDescent="0.25">
      <c r="A202" s="464"/>
      <c r="B202" s="29"/>
      <c r="C202" s="34"/>
      <c r="D202" s="29"/>
    </row>
    <row r="203" spans="1:4" s="35" customFormat="1" x14ac:dyDescent="0.25">
      <c r="A203" s="464"/>
      <c r="B203" s="29"/>
      <c r="C203" s="34"/>
      <c r="D203" s="29"/>
    </row>
    <row r="204" spans="1:4" s="35" customFormat="1" x14ac:dyDescent="0.25">
      <c r="A204" s="464"/>
      <c r="B204" s="29"/>
      <c r="C204" s="34"/>
      <c r="D204" s="29"/>
    </row>
    <row r="205" spans="1:4" s="35" customFormat="1" x14ac:dyDescent="0.25">
      <c r="A205" s="464"/>
      <c r="B205" s="29"/>
      <c r="C205" s="34"/>
      <c r="D205" s="29"/>
    </row>
    <row r="206" spans="1:4" s="35" customFormat="1" x14ac:dyDescent="0.25">
      <c r="A206" s="464"/>
      <c r="B206" s="29"/>
      <c r="C206" s="34"/>
      <c r="D206" s="29"/>
    </row>
    <row r="207" spans="1:4" s="35" customFormat="1" x14ac:dyDescent="0.25">
      <c r="A207" s="464"/>
      <c r="B207" s="29"/>
      <c r="C207" s="34"/>
      <c r="D207" s="29"/>
    </row>
    <row r="208" spans="1:4" s="35" customFormat="1" x14ac:dyDescent="0.25">
      <c r="A208" s="464"/>
      <c r="B208" s="29"/>
      <c r="C208" s="34"/>
      <c r="D208" s="29"/>
    </row>
    <row r="209" spans="1:4" s="35" customFormat="1" x14ac:dyDescent="0.25">
      <c r="A209" s="464"/>
      <c r="B209" s="29"/>
      <c r="C209" s="34"/>
      <c r="D209" s="29"/>
    </row>
    <row r="210" spans="1:4" s="35" customFormat="1" x14ac:dyDescent="0.25">
      <c r="A210" s="464"/>
      <c r="B210" s="29"/>
      <c r="C210" s="34"/>
      <c r="D210" s="29"/>
    </row>
    <row r="211" spans="1:4" s="35" customFormat="1" x14ac:dyDescent="0.25">
      <c r="A211" s="464"/>
      <c r="B211" s="29"/>
      <c r="C211" s="34"/>
      <c r="D211" s="29"/>
    </row>
    <row r="212" spans="1:4" s="35" customFormat="1" x14ac:dyDescent="0.25">
      <c r="A212" s="464"/>
      <c r="B212" s="29"/>
      <c r="C212" s="34"/>
      <c r="D212" s="29"/>
    </row>
    <row r="213" spans="1:4" s="35" customFormat="1" x14ac:dyDescent="0.25">
      <c r="A213" s="464"/>
      <c r="B213" s="29"/>
      <c r="C213" s="34"/>
      <c r="D213" s="29"/>
    </row>
    <row r="214" spans="1:4" s="35" customFormat="1" x14ac:dyDescent="0.25">
      <c r="A214" s="464"/>
      <c r="B214" s="29"/>
      <c r="C214" s="34"/>
      <c r="D214" s="29"/>
    </row>
    <row r="215" spans="1:4" s="35" customFormat="1" x14ac:dyDescent="0.25">
      <c r="A215" s="464"/>
      <c r="B215" s="29"/>
      <c r="C215" s="34"/>
      <c r="D215" s="29"/>
    </row>
    <row r="216" spans="1:4" s="35" customFormat="1" x14ac:dyDescent="0.25">
      <c r="A216" s="464"/>
      <c r="B216" s="29"/>
      <c r="C216" s="34"/>
      <c r="D216" s="29"/>
    </row>
    <row r="217" spans="1:4" s="35" customFormat="1" x14ac:dyDescent="0.25">
      <c r="A217" s="464"/>
      <c r="B217" s="29"/>
      <c r="C217" s="34"/>
      <c r="D217" s="29"/>
    </row>
    <row r="218" spans="1:4" s="35" customFormat="1" x14ac:dyDescent="0.25">
      <c r="A218" s="464"/>
      <c r="B218" s="29"/>
      <c r="C218" s="34"/>
      <c r="D218" s="29"/>
    </row>
    <row r="219" spans="1:4" s="35" customFormat="1" x14ac:dyDescent="0.25">
      <c r="A219" s="464"/>
      <c r="B219" s="29"/>
      <c r="C219" s="34"/>
      <c r="D219" s="29"/>
    </row>
    <row r="220" spans="1:4" s="35" customFormat="1" x14ac:dyDescent="0.25">
      <c r="A220" s="464"/>
      <c r="B220" s="29"/>
      <c r="C220" s="34"/>
      <c r="D220" s="29"/>
    </row>
    <row r="221" spans="1:4" s="35" customFormat="1" x14ac:dyDescent="0.25">
      <c r="A221" s="464"/>
      <c r="B221" s="29"/>
      <c r="C221" s="34"/>
      <c r="D221" s="29"/>
    </row>
    <row r="222" spans="1:4" s="35" customFormat="1" x14ac:dyDescent="0.25">
      <c r="A222" s="464"/>
      <c r="B222" s="29"/>
      <c r="C222" s="34"/>
      <c r="D222" s="29"/>
    </row>
    <row r="223" spans="1:4" s="35" customFormat="1" x14ac:dyDescent="0.25">
      <c r="A223" s="464"/>
      <c r="B223" s="29"/>
      <c r="C223" s="34"/>
      <c r="D223" s="29"/>
    </row>
    <row r="224" spans="1:4" s="35" customFormat="1" x14ac:dyDescent="0.25">
      <c r="A224" s="464"/>
      <c r="B224" s="29"/>
      <c r="C224" s="34"/>
      <c r="D224" s="29"/>
    </row>
    <row r="225" spans="1:4" s="35" customFormat="1" x14ac:dyDescent="0.25">
      <c r="A225" s="464"/>
      <c r="B225" s="29"/>
      <c r="C225" s="34"/>
      <c r="D225" s="29"/>
    </row>
  </sheetData>
  <mergeCells count="50">
    <mergeCell ref="G158:G163"/>
    <mergeCell ref="C131:D131"/>
    <mergeCell ref="E146:G146"/>
    <mergeCell ref="D100:D101"/>
    <mergeCell ref="E88:G88"/>
    <mergeCell ref="E143:G145"/>
    <mergeCell ref="E154:G154"/>
    <mergeCell ref="F150:G150"/>
    <mergeCell ref="E147:G147"/>
    <mergeCell ref="E148:G148"/>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7:G87"/>
    <mergeCell ref="F59:F68"/>
    <mergeCell ref="E56:G56"/>
    <mergeCell ref="E89:G89"/>
    <mergeCell ref="E53:G53"/>
    <mergeCell ref="E52:G52"/>
    <mergeCell ref="E51:G51"/>
    <mergeCell ref="E55:G55"/>
    <mergeCell ref="E85:G85"/>
    <mergeCell ref="E86:G86"/>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61" xr:uid="{00000000-0002-0000-0300-000000000000}"/>
    <dataValidation allowBlank="1" showInputMessage="1" showErrorMessage="1" prompt="Enter specific year replacement costs on Replacement Costs sheet" sqref="C154"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9:C90" xr:uid="{00000000-0002-0000-0300-000003000000}"/>
    <dataValidation type="list" allowBlank="1" showInputMessage="1" showErrorMessage="1" sqref="B130"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8DC7521A-1F24-4604-82FE-85C74945F2BA}">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061" r:id="rId4" name="Label1">
          <controlPr defaultSize="0" autoLine="0" r:id="rId5">
            <anchor moveWithCells="1">
              <from>
                <xdr:col>3</xdr:col>
                <xdr:colOff>165100</xdr:colOff>
                <xdr:row>66</xdr:row>
                <xdr:rowOff>12700</xdr:rowOff>
              </from>
              <to>
                <xdr:col>3</xdr:col>
                <xdr:colOff>476250</xdr:colOff>
                <xdr:row>66</xdr:row>
                <xdr:rowOff>190500</xdr:rowOff>
              </to>
            </anchor>
          </controlPr>
        </control>
      </mc:Choice>
      <mc:Fallback>
        <control shapeId="1061" r:id="rId4" name="Label1"/>
      </mc:Fallback>
    </mc:AlternateContent>
    <mc:AlternateContent xmlns:mc="http://schemas.openxmlformats.org/markup-compatibility/2006">
      <mc:Choice Requires="x14">
        <control shapeId="1063" r:id="rId6" name="lblUseDfltPrice">
          <controlPr defaultSize="0" autoLine="0" r:id="rId7">
            <anchor moveWithCells="1">
              <from>
                <xdr:col>1</xdr:col>
                <xdr:colOff>2495550</xdr:colOff>
                <xdr:row>66</xdr:row>
                <xdr:rowOff>31750</xdr:rowOff>
              </from>
              <to>
                <xdr:col>1</xdr:col>
                <xdr:colOff>3714750</xdr:colOff>
                <xdr:row>66</xdr:row>
                <xdr:rowOff>209550</xdr:rowOff>
              </to>
            </anchor>
          </controlPr>
        </control>
      </mc:Choice>
      <mc:Fallback>
        <control shapeId="1063" r:id="rId6" name="lblUseDfltPrice"/>
      </mc:Fallback>
    </mc:AlternateContent>
    <mc:AlternateContent xmlns:mc="http://schemas.openxmlformats.org/markup-compatibility/2006">
      <mc:Choice Requires="x14">
        <control shapeId="1076" r:id="rId8" name="chkNonEnergyByProd">
          <controlPr defaultSize="0" autoLine="0" r:id="rId9">
            <anchor moveWithCells="1">
              <from>
                <xdr:col>2</xdr:col>
                <xdr:colOff>285750</xdr:colOff>
                <xdr:row>128</xdr:row>
                <xdr:rowOff>247650</xdr:rowOff>
              </from>
              <to>
                <xdr:col>3</xdr:col>
                <xdr:colOff>114300</xdr:colOff>
                <xdr:row>129</xdr:row>
                <xdr:rowOff>228600</xdr:rowOff>
              </to>
            </anchor>
          </controlPr>
        </control>
      </mc:Choice>
      <mc:Fallback>
        <control shapeId="1076" r:id="rId8" name="chkNonEnergyByProd"/>
      </mc:Fallback>
    </mc:AlternateContent>
    <mc:AlternateContent xmlns:mc="http://schemas.openxmlformats.org/markup-compatibility/2006">
      <mc:Choice Requires="x14">
        <control shapeId="1083" r:id="rId10" name="lblUseOtherDefault">
          <controlPr defaultSize="0" autoLine="0" r:id="rId11">
            <anchor moveWithCells="1">
              <from>
                <xdr:col>1</xdr:col>
                <xdr:colOff>2222500</xdr:colOff>
                <xdr:row>131</xdr:row>
                <xdr:rowOff>38100</xdr:rowOff>
              </from>
              <to>
                <xdr:col>1</xdr:col>
                <xdr:colOff>3600450</xdr:colOff>
                <xdr:row>131</xdr:row>
                <xdr:rowOff>222250</xdr:rowOff>
              </to>
            </anchor>
          </controlPr>
        </control>
      </mc:Choice>
      <mc:Fallback>
        <control shapeId="1083" r:id="rId10" name="lblUseOtherDefault"/>
      </mc:Fallback>
    </mc:AlternateContent>
    <mc:AlternateContent xmlns:mc="http://schemas.openxmlformats.org/markup-compatibility/2006">
      <mc:Choice Requires="x14">
        <control shapeId="1085" r:id="rId12" name="Label3">
          <controlPr defaultSize="0" autoLine="0" r:id="rId13">
            <anchor moveWithCells="1">
              <from>
                <xdr:col>3</xdr:col>
                <xdr:colOff>298450</xdr:colOff>
                <xdr:row>131</xdr:row>
                <xdr:rowOff>50800</xdr:rowOff>
              </from>
              <to>
                <xdr:col>3</xdr:col>
                <xdr:colOff>609600</xdr:colOff>
                <xdr:row>131</xdr:row>
                <xdr:rowOff>228600</xdr:rowOff>
              </to>
            </anchor>
          </controlPr>
        </control>
      </mc:Choice>
      <mc:Fallback>
        <control shapeId="1085" r:id="rId12" name="Label3"/>
      </mc:Fallback>
    </mc:AlternateContent>
    <mc:AlternateContent xmlns:mc="http://schemas.openxmlformats.org/markup-compatibility/2006">
      <mc:Choice Requires="x14">
        <control shapeId="1093" r:id="rId14" name="chk_depr_type">
          <controlPr defaultSize="0" autoLine="0" r:id="rId15">
            <anchor moveWithCells="1">
              <from>
                <xdr:col>3</xdr:col>
                <xdr:colOff>203200</xdr:colOff>
                <xdr:row>40</xdr:row>
                <xdr:rowOff>184150</xdr:rowOff>
              </from>
              <to>
                <xdr:col>3</xdr:col>
                <xdr:colOff>1231900</xdr:colOff>
                <xdr:row>41</xdr:row>
                <xdr:rowOff>165100</xdr:rowOff>
              </to>
            </anchor>
          </controlPr>
        </control>
      </mc:Choice>
      <mc:Fallback>
        <control shapeId="1093" r:id="rId14" name="chk_depr_type"/>
      </mc:Fallback>
    </mc:AlternateContent>
    <mc:AlternateContent xmlns:mc="http://schemas.openxmlformats.org/markup-compatibility/2006">
      <mc:Choice Requires="x14">
        <control shapeId="1096" r:id="rId16" name="chk_equity">
          <controlPr defaultSize="0" autoLine="0" r:id="rId17">
            <anchor moveWithCells="1">
              <from>
                <xdr:col>3</xdr:col>
                <xdr:colOff>203200</xdr:colOff>
                <xdr:row>42</xdr:row>
                <xdr:rowOff>12700</xdr:rowOff>
              </from>
              <to>
                <xdr:col>3</xdr:col>
                <xdr:colOff>1231900</xdr:colOff>
                <xdr:row>43</xdr:row>
                <xdr:rowOff>0</xdr:rowOff>
              </to>
            </anchor>
          </controlPr>
        </control>
      </mc:Choice>
      <mc:Fallback>
        <control shapeId="1096" r:id="rId16" name="chk_equity"/>
      </mc:Fallback>
    </mc:AlternateContent>
    <mc:AlternateContent xmlns:mc="http://schemas.openxmlformats.org/markup-compatibility/2006">
      <mc:Choice Requires="x14">
        <control shapeId="1097" r:id="rId18" name="chk_ref_year">
          <controlPr defaultSize="0" autoLine="0" r:id="rId19">
            <anchor moveWithCells="1">
              <from>
                <xdr:col>3</xdr:col>
                <xdr:colOff>203200</xdr:colOff>
                <xdr:row>29</xdr:row>
                <xdr:rowOff>12700</xdr:rowOff>
              </from>
              <to>
                <xdr:col>3</xdr:col>
                <xdr:colOff>1231900</xdr:colOff>
                <xdr:row>30</xdr:row>
                <xdr:rowOff>19050</xdr:rowOff>
              </to>
            </anchor>
          </controlPr>
        </control>
      </mc:Choice>
      <mc:Fallback>
        <control shapeId="1097" r:id="rId18" name="chk_ref_year"/>
      </mc:Fallback>
    </mc:AlternateContent>
    <mc:AlternateContent xmlns:mc="http://schemas.openxmlformats.org/markup-compatibility/2006">
      <mc:Choice Requires="x14">
        <control shapeId="1098" r:id="rId20" name="chk_decom_percent">
          <controlPr defaultSize="0" autoLine="0" r:id="rId21">
            <anchor moveWithCells="1">
              <from>
                <xdr:col>3</xdr:col>
                <xdr:colOff>203200</xdr:colOff>
                <xdr:row>48</xdr:row>
                <xdr:rowOff>12700</xdr:rowOff>
              </from>
              <to>
                <xdr:col>3</xdr:col>
                <xdr:colOff>1231900</xdr:colOff>
                <xdr:row>48</xdr:row>
                <xdr:rowOff>209550</xdr:rowOff>
              </to>
            </anchor>
          </controlPr>
        </control>
      </mc:Choice>
      <mc:Fallback>
        <control shapeId="1098" r:id="rId20" name="chk_decom_percent"/>
      </mc:Fallback>
    </mc:AlternateContent>
    <mc:AlternateContent xmlns:mc="http://schemas.openxmlformats.org/markup-compatibility/2006">
      <mc:Choice Requires="x14">
        <control shapeId="1109" r:id="rId22" name="chk_salvage_perct">
          <controlPr defaultSize="0" autoLine="0" r:id="rId23">
            <anchor moveWithCells="1">
              <from>
                <xdr:col>3</xdr:col>
                <xdr:colOff>203200</xdr:colOff>
                <xdr:row>49</xdr:row>
                <xdr:rowOff>12700</xdr:rowOff>
              </from>
              <to>
                <xdr:col>3</xdr:col>
                <xdr:colOff>1231900</xdr:colOff>
                <xdr:row>49</xdr:row>
                <xdr:rowOff>209550</xdr:rowOff>
              </to>
            </anchor>
          </controlPr>
        </control>
      </mc:Choice>
      <mc:Fallback>
        <control shapeId="1109" r:id="rId22" name="chk_salvage_perct"/>
      </mc:Fallback>
    </mc:AlternateContent>
    <mc:AlternateContent xmlns:mc="http://schemas.openxmlformats.org/markup-compatibility/2006">
      <mc:Choice Requires="x14">
        <control shapeId="1110" r:id="rId24" name="chk_inflation_rate">
          <controlPr defaultSize="0" autoLine="0" r:id="rId25">
            <anchor moveWithCells="1">
              <from>
                <xdr:col>3</xdr:col>
                <xdr:colOff>203200</xdr:colOff>
                <xdr:row>50</xdr:row>
                <xdr:rowOff>12700</xdr:rowOff>
              </from>
              <to>
                <xdr:col>3</xdr:col>
                <xdr:colOff>1231900</xdr:colOff>
                <xdr:row>50</xdr:row>
                <xdr:rowOff>209550</xdr:rowOff>
              </to>
            </anchor>
          </controlPr>
        </control>
      </mc:Choice>
      <mc:Fallback>
        <control shapeId="1110" r:id="rId24" name="chk_inflation_rate"/>
      </mc:Fallback>
    </mc:AlternateContent>
    <mc:AlternateContent xmlns:mc="http://schemas.openxmlformats.org/markup-compatibility/2006">
      <mc:Choice Requires="x14">
        <control shapeId="1111" r:id="rId26" name="chk_real_irr">
          <controlPr defaultSize="0" autoLine="0" r:id="rId27">
            <anchor moveWithCells="1">
              <from>
                <xdr:col>3</xdr:col>
                <xdr:colOff>203200</xdr:colOff>
                <xdr:row>51</xdr:row>
                <xdr:rowOff>12700</xdr:rowOff>
              </from>
              <to>
                <xdr:col>3</xdr:col>
                <xdr:colOff>1231900</xdr:colOff>
                <xdr:row>52</xdr:row>
                <xdr:rowOff>0</xdr:rowOff>
              </to>
            </anchor>
          </controlPr>
        </control>
      </mc:Choice>
      <mc:Fallback>
        <control shapeId="1111" r:id="rId26" name="chk_real_irr"/>
      </mc:Fallback>
    </mc:AlternateContent>
    <mc:AlternateContent xmlns:mc="http://schemas.openxmlformats.org/markup-compatibility/2006">
      <mc:Choice Requires="x14">
        <control shapeId="1112" r:id="rId28" name="chk_state_tax_rate">
          <controlPr defaultSize="0" autoLine="0" r:id="rId29">
            <anchor moveWithCells="1">
              <from>
                <xdr:col>3</xdr:col>
                <xdr:colOff>203200</xdr:colOff>
                <xdr:row>52</xdr:row>
                <xdr:rowOff>12700</xdr:rowOff>
              </from>
              <to>
                <xdr:col>3</xdr:col>
                <xdr:colOff>1231900</xdr:colOff>
                <xdr:row>52</xdr:row>
                <xdr:rowOff>209550</xdr:rowOff>
              </to>
            </anchor>
          </controlPr>
        </control>
      </mc:Choice>
      <mc:Fallback>
        <control shapeId="1112" r:id="rId28" name="chk_state_tax_rate"/>
      </mc:Fallback>
    </mc:AlternateContent>
    <mc:AlternateContent xmlns:mc="http://schemas.openxmlformats.org/markup-compatibility/2006">
      <mc:Choice Requires="x14">
        <control shapeId="1113" r:id="rId30" name="chk_fed_tax_rate">
          <controlPr defaultSize="0" autoLine="0" r:id="rId31">
            <anchor moveWithCells="1">
              <from>
                <xdr:col>3</xdr:col>
                <xdr:colOff>203200</xdr:colOff>
                <xdr:row>53</xdr:row>
                <xdr:rowOff>12700</xdr:rowOff>
              </from>
              <to>
                <xdr:col>3</xdr:col>
                <xdr:colOff>1231900</xdr:colOff>
                <xdr:row>54</xdr:row>
                <xdr:rowOff>0</xdr:rowOff>
              </to>
            </anchor>
          </controlPr>
        </control>
      </mc:Choice>
      <mc:Fallback>
        <control shapeId="1113" r:id="rId30" name="chk_fed_tax_rate"/>
      </mc:Fallback>
    </mc:AlternateContent>
    <mc:AlternateContent xmlns:mc="http://schemas.openxmlformats.org/markup-compatibility/2006">
      <mc:Choice Requires="x14">
        <control shapeId="1114" r:id="rId32" name="chk_WorkingCap">
          <controlPr defaultSize="0" autoLine="0" r:id="rId33">
            <anchor moveWithCells="1">
              <from>
                <xdr:col>3</xdr:col>
                <xdr:colOff>203200</xdr:colOff>
                <xdr:row>55</xdr:row>
                <xdr:rowOff>12700</xdr:rowOff>
              </from>
              <to>
                <xdr:col>3</xdr:col>
                <xdr:colOff>1231900</xdr:colOff>
                <xdr:row>55</xdr:row>
                <xdr:rowOff>209550</xdr:rowOff>
              </to>
            </anchor>
          </controlPr>
        </control>
      </mc:Choice>
      <mc:Fallback>
        <control shapeId="1114" r:id="rId32" name="chk_WorkingCap"/>
      </mc:Fallback>
    </mc:AlternateContent>
    <mc:AlternateContent xmlns:mc="http://schemas.openxmlformats.org/markup-compatibility/2006">
      <mc:Choice Requires="x14">
        <control shapeId="1173" r:id="rId34" name="chk_overhead_rate">
          <controlPr defaultSize="0" autoLine="0" r:id="rId35">
            <anchor moveWithCells="1">
              <from>
                <xdr:col>3</xdr:col>
                <xdr:colOff>76200</xdr:colOff>
                <xdr:row>113</xdr:row>
                <xdr:rowOff>12700</xdr:rowOff>
              </from>
              <to>
                <xdr:col>3</xdr:col>
                <xdr:colOff>1174750</xdr:colOff>
                <xdr:row>114</xdr:row>
                <xdr:rowOff>19050</xdr:rowOff>
              </to>
            </anchor>
          </controlPr>
        </control>
      </mc:Choice>
      <mc:Fallback>
        <control shapeId="1173" r:id="rId34" name="chk_overhead_rate"/>
      </mc:Fallback>
    </mc:AlternateContent>
    <mc:AlternateContent xmlns:mc="http://schemas.openxmlformats.org/markup-compatibility/2006">
      <mc:Choice Requires="x14">
        <control shapeId="1174" r:id="rId36" name="chk_tax_ins_rate">
          <controlPr defaultSize="0" autoLine="0" r:id="rId37">
            <anchor moveWithCells="1">
              <from>
                <xdr:col>3</xdr:col>
                <xdr:colOff>57150</xdr:colOff>
                <xdr:row>116</xdr:row>
                <xdr:rowOff>38100</xdr:rowOff>
              </from>
              <to>
                <xdr:col>3</xdr:col>
                <xdr:colOff>1085850</xdr:colOff>
                <xdr:row>116</xdr:row>
                <xdr:rowOff>260350</xdr:rowOff>
              </to>
            </anchor>
          </controlPr>
        </control>
      </mc:Choice>
      <mc:Fallback>
        <control shapeId="1174" r:id="rId36" name="chk_tax_ins_rate"/>
      </mc:Fallback>
    </mc:AlternateContent>
    <mc:AlternateContent xmlns:mc="http://schemas.openxmlformats.org/markup-compatibility/2006">
      <mc:Choice Requires="x14">
        <control shapeId="1175" r:id="rId38" name="chk_royalties">
          <controlPr defaultSize="0" disabled="1" autoLine="0" r:id="rId39">
            <anchor moveWithCells="1">
              <from>
                <xdr:col>5</xdr:col>
                <xdr:colOff>184150</xdr:colOff>
                <xdr:row>154</xdr:row>
                <xdr:rowOff>12700</xdr:rowOff>
              </from>
              <to>
                <xdr:col>5</xdr:col>
                <xdr:colOff>1212850</xdr:colOff>
                <xdr:row>154</xdr:row>
                <xdr:rowOff>209550</xdr:rowOff>
              </to>
            </anchor>
          </controlPr>
        </control>
      </mc:Choice>
      <mc:Fallback>
        <control shapeId="1175" r:id="rId38" name="chk_royalties"/>
      </mc:Fallback>
    </mc:AlternateContent>
    <mc:AlternateContent xmlns:mc="http://schemas.openxmlformats.org/markup-compatibility/2006">
      <mc:Choice Requires="x14">
        <control shapeId="1176" r:id="rId40" name="chk_operator_profit">
          <controlPr defaultSize="0" disabled="1" autoLine="0" r:id="rId41">
            <anchor moveWithCells="1">
              <from>
                <xdr:col>5</xdr:col>
                <xdr:colOff>184150</xdr:colOff>
                <xdr:row>155</xdr:row>
                <xdr:rowOff>12700</xdr:rowOff>
              </from>
              <to>
                <xdr:col>5</xdr:col>
                <xdr:colOff>1212850</xdr:colOff>
                <xdr:row>155</xdr:row>
                <xdr:rowOff>209550</xdr:rowOff>
              </to>
            </anchor>
          </controlPr>
        </control>
      </mc:Choice>
      <mc:Fallback>
        <control shapeId="1176" r:id="rId40" name="chk_operator_profit"/>
      </mc:Fallback>
    </mc:AlternateContent>
    <mc:AlternateContent xmlns:mc="http://schemas.openxmlformats.org/markup-compatibility/2006">
      <mc:Choice Requires="x14">
        <control shapeId="1177" r:id="rId42" name="chk_tax_credit">
          <controlPr defaultSize="0" disabled="1" autoLine="0" r:id="rId43">
            <anchor moveWithCells="1">
              <from>
                <xdr:col>5</xdr:col>
                <xdr:colOff>184150</xdr:colOff>
                <xdr:row>156</xdr:row>
                <xdr:rowOff>0</xdr:rowOff>
              </from>
              <to>
                <xdr:col>5</xdr:col>
                <xdr:colOff>1212850</xdr:colOff>
                <xdr:row>157</xdr:row>
                <xdr:rowOff>0</xdr:rowOff>
              </to>
            </anchor>
          </controlPr>
        </control>
      </mc:Choice>
      <mc:Fallback>
        <control shapeId="1177" r:id="rId42" name="chk_tax_credit"/>
      </mc:Fallback>
    </mc:AlternateContent>
    <mc:AlternateContent xmlns:mc="http://schemas.openxmlformats.org/markup-compatibility/2006">
      <mc:Choice Requires="x14">
        <control shapeId="1223" r:id="rId44" name="chk_Proc_CO2_tax">
          <controlPr defaultSize="0" disabled="1" autoLine="0" r:id="rId45">
            <anchor moveWithCells="1">
              <from>
                <xdr:col>5</xdr:col>
                <xdr:colOff>184150</xdr:colOff>
                <xdr:row>158</xdr:row>
                <xdr:rowOff>0</xdr:rowOff>
              </from>
              <to>
                <xdr:col>5</xdr:col>
                <xdr:colOff>1212850</xdr:colOff>
                <xdr:row>159</xdr:row>
                <xdr:rowOff>0</xdr:rowOff>
              </to>
            </anchor>
          </controlPr>
        </control>
      </mc:Choice>
      <mc:Fallback>
        <control shapeId="1223" r:id="rId44" name="chk_Proc_CO2_tax"/>
      </mc:Fallback>
    </mc:AlternateContent>
    <mc:AlternateContent xmlns:mc="http://schemas.openxmlformats.org/markup-compatibility/2006">
      <mc:Choice Requires="x14">
        <control shapeId="1224" r:id="rId46" name="chk_Upstream_CO2_tax">
          <controlPr defaultSize="0" disabled="1" autoLine="0" r:id="rId47">
            <anchor moveWithCells="1">
              <from>
                <xdr:col>5</xdr:col>
                <xdr:colOff>184150</xdr:colOff>
                <xdr:row>160</xdr:row>
                <xdr:rowOff>0</xdr:rowOff>
              </from>
              <to>
                <xdr:col>5</xdr:col>
                <xdr:colOff>1212850</xdr:colOff>
                <xdr:row>161</xdr:row>
                <xdr:rowOff>0</xdr:rowOff>
              </to>
            </anchor>
          </controlPr>
        </control>
      </mc:Choice>
      <mc:Fallback>
        <control shapeId="1224" r:id="rId46" name="chk_Upstream_CO2_tax"/>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115" zoomScaleNormal="115" workbookViewId="0">
      <selection activeCell="D20" sqref="D20"/>
    </sheetView>
  </sheetViews>
  <sheetFormatPr defaultColWidth="9.1796875" defaultRowHeight="12.5" x14ac:dyDescent="0.25"/>
  <cols>
    <col min="1" max="1" width="16.26953125" style="210" customWidth="1"/>
    <col min="2" max="2" width="17.453125" style="210" customWidth="1"/>
    <col min="3" max="5" width="19.54296875" style="210" customWidth="1"/>
    <col min="6" max="6" width="19.453125" style="210" customWidth="1"/>
    <col min="7" max="7" width="21.81640625" style="210" customWidth="1"/>
    <col min="8" max="8" width="23.26953125" style="210" customWidth="1"/>
    <col min="9" max="10" width="19.1796875" style="210" customWidth="1"/>
    <col min="11" max="11" width="47.26953125" style="210" customWidth="1"/>
    <col min="12" max="12" width="30.26953125" style="210" customWidth="1"/>
    <col min="13" max="13" width="40.1796875" style="210" customWidth="1"/>
    <col min="14" max="14" width="20" style="210" customWidth="1"/>
    <col min="15" max="16384" width="9.1796875" style="210"/>
  </cols>
  <sheetData>
    <row r="1" spans="1:12" x14ac:dyDescent="0.25">
      <c r="B1" s="38"/>
      <c r="C1" s="38"/>
      <c r="D1" s="38"/>
      <c r="E1" s="38"/>
      <c r="F1" s="38"/>
      <c r="G1" s="38"/>
    </row>
    <row r="2" spans="1:12" ht="22" x14ac:dyDescent="0.65">
      <c r="A2" s="815" t="s">
        <v>1027</v>
      </c>
      <c r="B2" s="38"/>
      <c r="C2" s="38"/>
      <c r="D2" s="38"/>
      <c r="E2" s="38"/>
      <c r="F2" s="38"/>
      <c r="G2" s="38"/>
    </row>
    <row r="3" spans="1:12" ht="13" x14ac:dyDescent="0.25">
      <c r="B3" s="41"/>
      <c r="C3" s="41"/>
      <c r="D3" s="41"/>
      <c r="E3" s="41"/>
      <c r="F3" s="41"/>
      <c r="G3" s="44"/>
      <c r="H3" s="211"/>
      <c r="I3" s="211"/>
      <c r="J3" s="211"/>
    </row>
    <row r="4" spans="1:12" ht="13" x14ac:dyDescent="0.25">
      <c r="B4" s="41"/>
      <c r="C4" s="41"/>
      <c r="D4" s="41"/>
      <c r="E4" s="41"/>
      <c r="F4" s="41"/>
      <c r="G4" s="44"/>
      <c r="H4" s="211"/>
      <c r="I4" s="211"/>
      <c r="J4" s="211"/>
    </row>
    <row r="5" spans="1:12" customFormat="1" ht="15.5" x14ac:dyDescent="0.35">
      <c r="C5" s="817" t="s">
        <v>233</v>
      </c>
      <c r="D5" s="817"/>
      <c r="E5" s="817"/>
    </row>
    <row r="6" spans="1:12" customFormat="1" x14ac:dyDescent="0.25"/>
    <row r="7" spans="1:12" customFormat="1" x14ac:dyDescent="0.25"/>
    <row r="8" spans="1:12" customFormat="1" x14ac:dyDescent="0.25"/>
    <row r="9" spans="1:12" customFormat="1" ht="13" x14ac:dyDescent="0.25">
      <c r="A9" s="816" t="str">
        <f>"NOTE: Enter costs in year "&amp;TEXT(BasisYear,"0")&amp;" $ - Do not inflate"</f>
        <v>NOTE: Enter costs in year 2005 $ - Do not inflate</v>
      </c>
    </row>
    <row r="10" spans="1:12" customFormat="1" ht="13" x14ac:dyDescent="0.25">
      <c r="A10" s="816" t="s">
        <v>1028</v>
      </c>
    </row>
    <row r="11" spans="1:12" customFormat="1" x14ac:dyDescent="0.25"/>
    <row r="12" spans="1:12" ht="13.5" thickBot="1" x14ac:dyDescent="0.35">
      <c r="A12" s="212"/>
      <c r="B12" s="212"/>
      <c r="C12" s="212"/>
      <c r="D12" s="212"/>
      <c r="E12" s="212"/>
      <c r="F12" s="212"/>
      <c r="G12" s="212"/>
      <c r="H12" s="213"/>
      <c r="I12" s="213"/>
      <c r="J12" s="213"/>
    </row>
    <row r="13" spans="1:12" ht="14" thickTop="1" thickBot="1" x14ac:dyDescent="0.35">
      <c r="A13" s="337" t="s">
        <v>1029</v>
      </c>
      <c r="B13" s="338"/>
      <c r="C13" s="339"/>
      <c r="D13" s="339"/>
      <c r="E13" s="339"/>
      <c r="F13" s="340"/>
      <c r="G13" s="341"/>
    </row>
    <row r="14" spans="1:12" ht="14" thickTop="1" thickBot="1" x14ac:dyDescent="0.35">
      <c r="A14" s="342"/>
      <c r="B14" s="343"/>
      <c r="C14" s="344" t="s">
        <v>1030</v>
      </c>
      <c r="D14" s="344"/>
      <c r="E14" s="344"/>
      <c r="F14" s="344" t="s">
        <v>1031</v>
      </c>
      <c r="G14" s="345" t="s">
        <v>1032</v>
      </c>
    </row>
    <row r="15" spans="1:12" s="209" customFormat="1" ht="79" thickTop="1" thickBot="1" x14ac:dyDescent="0.35">
      <c r="A15" s="346" t="s">
        <v>183</v>
      </c>
      <c r="B15" s="529">
        <f>replace_factor</f>
        <v>5.0000000000000001E-3</v>
      </c>
      <c r="C15" s="347"/>
      <c r="D15" s="347"/>
      <c r="E15" s="347"/>
      <c r="F15" s="348"/>
      <c r="G15" s="349" t="s">
        <v>1033</v>
      </c>
      <c r="I15" s="221"/>
      <c r="J15" s="210"/>
      <c r="K15" s="214"/>
    </row>
    <row r="16" spans="1:12" ht="53" thickTop="1" thickBot="1" x14ac:dyDescent="0.35">
      <c r="A16" s="350" t="s">
        <v>1034</v>
      </c>
      <c r="B16" s="351" t="s">
        <v>40</v>
      </c>
      <c r="C16" s="352" t="s">
        <v>1035</v>
      </c>
      <c r="D16" s="352" t="s">
        <v>1036</v>
      </c>
      <c r="E16" s="352" t="s">
        <v>1292</v>
      </c>
      <c r="F16" s="352" t="s">
        <v>1036</v>
      </c>
      <c r="G16" s="352" t="s">
        <v>1037</v>
      </c>
      <c r="H16" s="352" t="s">
        <v>1075</v>
      </c>
      <c r="I16" s="352" t="s">
        <v>1076</v>
      </c>
      <c r="J16" s="352" t="s">
        <v>1077</v>
      </c>
      <c r="K16" s="353" t="s">
        <v>1078</v>
      </c>
      <c r="L16" s="354" t="s">
        <v>1079</v>
      </c>
    </row>
    <row r="17" spans="1:12" ht="14" thickTop="1" thickBot="1" x14ac:dyDescent="0.35">
      <c r="A17" s="355"/>
      <c r="B17" s="356"/>
      <c r="C17" s="356"/>
      <c r="D17" s="356" t="str">
        <f>"Year "&amp;TEXT(BasisYear,"0")&amp;" $"</f>
        <v>Year 2005 $</v>
      </c>
      <c r="E17" s="356" t="str">
        <f>"Year "&amp;TEXT(ref_year,"0")&amp;" $"</f>
        <v>Year 2016 $</v>
      </c>
      <c r="F17" s="356" t="str">
        <f>"Year "&amp;TEXT(ref_year,"0")&amp;" $"</f>
        <v>Year 2016 $</v>
      </c>
      <c r="G17" s="356" t="str">
        <f>"Year "&amp;TEXT(ref_year,"0")&amp;" $"</f>
        <v>Year 2016 $</v>
      </c>
      <c r="H17" s="356" t="s">
        <v>1080</v>
      </c>
      <c r="I17" s="356"/>
      <c r="J17" s="356"/>
      <c r="K17" s="357"/>
      <c r="L17" s="358"/>
    </row>
    <row r="18" spans="1:12" ht="13" thickTop="1" x14ac:dyDescent="0.25">
      <c r="A18" s="92">
        <f>IF(C18&lt;&gt;"",'Cash Flow Analysis'!A65,"")</f>
        <v>2012</v>
      </c>
      <c r="B18" s="313">
        <f>construct+1</f>
        <v>4</v>
      </c>
      <c r="C18" s="313">
        <v>1</v>
      </c>
      <c r="D18" s="482"/>
      <c r="E18" s="215">
        <f>+'Carbon Sequestration'!$C$100*(C18&lt;=anal_period)</f>
        <v>0</v>
      </c>
      <c r="F18" s="215">
        <f t="shared" ref="F18:F57" si="0">(D18)*CPIinflator*CEPCIinflator+E18</f>
        <v>0</v>
      </c>
      <c r="G18" s="215">
        <f ca="1">IF(C18&gt;anal_period,0,IF(replace_factor&lt;&gt;"",replace_factor*depr_cap,0))</f>
        <v>1239738.2989022506</v>
      </c>
      <c r="H18" s="216">
        <f ca="1">(F18+G18)*((1+inflation_rate)^(startup_year-ref_year))</f>
        <v>1216622.4719354766</v>
      </c>
      <c r="I18" s="359"/>
      <c r="J18" s="360"/>
      <c r="K18" s="361"/>
      <c r="L18" s="362"/>
    </row>
    <row r="19" spans="1:12" x14ac:dyDescent="0.25">
      <c r="A19" s="94">
        <f>IF(C19&lt;&gt;"",'Cash Flow Analysis'!A66,"")</f>
        <v>2013</v>
      </c>
      <c r="B19" s="314">
        <f t="shared" ref="B19:B57" si="1">IF(B18&lt;anal_period+construct,B18+1,"")</f>
        <v>5</v>
      </c>
      <c r="C19" s="314">
        <f t="shared" ref="C19:C57" si="2">IF(B19="","",C18+1)</f>
        <v>2</v>
      </c>
      <c r="D19" s="483"/>
      <c r="E19" s="217">
        <f>+'Carbon Sequestration'!$C$100*(C19&lt;=anal_period)</f>
        <v>0</v>
      </c>
      <c r="F19" s="217">
        <f t="shared" si="0"/>
        <v>0</v>
      </c>
      <c r="G19" s="217">
        <f t="shared" ref="G19:G57" ca="1" si="3">IF(C19&gt;anal_period,0,IF(replace_factor&lt;&gt;"",replace_factor*depr_cap,0))</f>
        <v>1239738.2989022506</v>
      </c>
      <c r="H19" s="218">
        <f t="shared" ref="H19:H57" ca="1" si="4">(F19+G19)*((1+inflation_rate)^(startup_year-ref_year))</f>
        <v>1216622.4719354766</v>
      </c>
      <c r="I19" s="363"/>
      <c r="J19" s="364"/>
      <c r="K19" s="365"/>
      <c r="L19" s="366"/>
    </row>
    <row r="20" spans="1:12" x14ac:dyDescent="0.25">
      <c r="A20" s="94">
        <f>IF(C20&lt;&gt;"",'Cash Flow Analysis'!A67,"")</f>
        <v>2014</v>
      </c>
      <c r="B20" s="314">
        <f t="shared" si="1"/>
        <v>6</v>
      </c>
      <c r="C20" s="314">
        <f t="shared" si="2"/>
        <v>3</v>
      </c>
      <c r="D20" s="483"/>
      <c r="E20" s="217">
        <f>+'Carbon Sequestration'!$C$100*(C20&lt;=anal_period)</f>
        <v>0</v>
      </c>
      <c r="F20" s="217">
        <f t="shared" si="0"/>
        <v>0</v>
      </c>
      <c r="G20" s="217">
        <f t="shared" ca="1" si="3"/>
        <v>1239738.2989022506</v>
      </c>
      <c r="H20" s="218">
        <f t="shared" ca="1" si="4"/>
        <v>1216622.4719354766</v>
      </c>
      <c r="I20" s="363"/>
      <c r="J20" s="364"/>
      <c r="K20" s="365"/>
      <c r="L20" s="366"/>
    </row>
    <row r="21" spans="1:12" x14ac:dyDescent="0.25">
      <c r="A21" s="94">
        <f>IF(C21&lt;&gt;"",'Cash Flow Analysis'!A68,"")</f>
        <v>2015</v>
      </c>
      <c r="B21" s="314">
        <f t="shared" si="1"/>
        <v>7</v>
      </c>
      <c r="C21" s="314">
        <f t="shared" si="2"/>
        <v>4</v>
      </c>
      <c r="D21" s="483"/>
      <c r="E21" s="217">
        <f>+'Carbon Sequestration'!$C$100*(C21&lt;=anal_period)</f>
        <v>0</v>
      </c>
      <c r="F21" s="217">
        <f t="shared" si="0"/>
        <v>0</v>
      </c>
      <c r="G21" s="217">
        <f t="shared" ca="1" si="3"/>
        <v>1239738.2989022506</v>
      </c>
      <c r="H21" s="218">
        <f t="shared" ca="1" si="4"/>
        <v>1216622.4719354766</v>
      </c>
      <c r="I21" s="363"/>
      <c r="J21" s="364"/>
      <c r="K21" s="365"/>
      <c r="L21" s="366"/>
    </row>
    <row r="22" spans="1:12" x14ac:dyDescent="0.25">
      <c r="A22" s="94">
        <f>IF(C22&lt;&gt;"",'Cash Flow Analysis'!A69,"")</f>
        <v>2016</v>
      </c>
      <c r="B22" s="314">
        <f t="shared" si="1"/>
        <v>8</v>
      </c>
      <c r="C22" s="314">
        <f t="shared" si="2"/>
        <v>5</v>
      </c>
      <c r="D22" s="483"/>
      <c r="E22" s="217">
        <f>+'Carbon Sequestration'!$C$100*(C22&lt;=anal_period)</f>
        <v>0</v>
      </c>
      <c r="F22" s="217">
        <f t="shared" si="0"/>
        <v>0</v>
      </c>
      <c r="G22" s="217">
        <f t="shared" ca="1" si="3"/>
        <v>1239738.2989022506</v>
      </c>
      <c r="H22" s="218">
        <f t="shared" ca="1" si="4"/>
        <v>1216622.4719354766</v>
      </c>
      <c r="I22" s="363"/>
      <c r="J22" s="364"/>
      <c r="K22" s="903"/>
      <c r="L22" s="904"/>
    </row>
    <row r="23" spans="1:12" x14ac:dyDescent="0.25">
      <c r="A23" s="94">
        <f>IF(C23&lt;&gt;"",'Cash Flow Analysis'!A70,"")</f>
        <v>2017</v>
      </c>
      <c r="B23" s="314">
        <f t="shared" si="1"/>
        <v>9</v>
      </c>
      <c r="C23" s="314">
        <f t="shared" si="2"/>
        <v>6</v>
      </c>
      <c r="D23" s="483"/>
      <c r="E23" s="217">
        <f>+'Carbon Sequestration'!$C$100*(C23&lt;=anal_period)</f>
        <v>0</v>
      </c>
      <c r="F23" s="217">
        <f t="shared" si="0"/>
        <v>0</v>
      </c>
      <c r="G23" s="217">
        <f t="shared" ca="1" si="3"/>
        <v>1239738.2989022506</v>
      </c>
      <c r="H23" s="218">
        <f t="shared" ca="1" si="4"/>
        <v>1216622.4719354766</v>
      </c>
      <c r="I23" s="363"/>
      <c r="J23" s="364"/>
      <c r="K23" s="365"/>
      <c r="L23" s="366"/>
    </row>
    <row r="24" spans="1:12" x14ac:dyDescent="0.25">
      <c r="A24" s="94">
        <f>IF(C24&lt;&gt;"",'Cash Flow Analysis'!A71,"")</f>
        <v>2018</v>
      </c>
      <c r="B24" s="314">
        <f t="shared" si="1"/>
        <v>10</v>
      </c>
      <c r="C24" s="314">
        <f t="shared" si="2"/>
        <v>7</v>
      </c>
      <c r="D24" s="483"/>
      <c r="E24" s="217">
        <f>+'Carbon Sequestration'!$C$100*(C24&lt;=anal_period)</f>
        <v>0</v>
      </c>
      <c r="F24" s="217">
        <f t="shared" si="0"/>
        <v>0</v>
      </c>
      <c r="G24" s="217">
        <f t="shared" ca="1" si="3"/>
        <v>1239738.2989022506</v>
      </c>
      <c r="H24" s="218">
        <f t="shared" ca="1" si="4"/>
        <v>1216622.4719354766</v>
      </c>
      <c r="I24" s="363"/>
      <c r="J24" s="364"/>
      <c r="K24" s="365"/>
      <c r="L24" s="366"/>
    </row>
    <row r="25" spans="1:12" x14ac:dyDescent="0.25">
      <c r="A25" s="94">
        <f>IF(C25&lt;&gt;"",'Cash Flow Analysis'!A72,"")</f>
        <v>2019</v>
      </c>
      <c r="B25" s="314">
        <f t="shared" si="1"/>
        <v>11</v>
      </c>
      <c r="C25" s="314">
        <f t="shared" si="2"/>
        <v>8</v>
      </c>
      <c r="D25" s="483"/>
      <c r="E25" s="217">
        <f>+'Carbon Sequestration'!$C$100*(C25&lt;=anal_period)</f>
        <v>0</v>
      </c>
      <c r="F25" s="217">
        <f t="shared" si="0"/>
        <v>0</v>
      </c>
      <c r="G25" s="217">
        <f t="shared" ca="1" si="3"/>
        <v>1239738.2989022506</v>
      </c>
      <c r="H25" s="218">
        <f t="shared" ca="1" si="4"/>
        <v>1216622.4719354766</v>
      </c>
      <c r="I25" s="363"/>
      <c r="J25" s="364"/>
      <c r="K25" s="365"/>
      <c r="L25" s="366"/>
    </row>
    <row r="26" spans="1:12" x14ac:dyDescent="0.25">
      <c r="A26" s="94">
        <f>IF(C26&lt;&gt;"",'Cash Flow Analysis'!A73,"")</f>
        <v>2020</v>
      </c>
      <c r="B26" s="314">
        <f t="shared" si="1"/>
        <v>12</v>
      </c>
      <c r="C26" s="314">
        <f t="shared" si="2"/>
        <v>9</v>
      </c>
      <c r="D26" s="483"/>
      <c r="E26" s="217">
        <f>+'Carbon Sequestration'!$C$100*(C26&lt;=anal_period)</f>
        <v>0</v>
      </c>
      <c r="F26" s="217">
        <f t="shared" si="0"/>
        <v>0</v>
      </c>
      <c r="G26" s="217">
        <f t="shared" ca="1" si="3"/>
        <v>1239738.2989022506</v>
      </c>
      <c r="H26" s="218">
        <f t="shared" ca="1" si="4"/>
        <v>1216622.4719354766</v>
      </c>
      <c r="I26" s="363"/>
      <c r="J26" s="364"/>
      <c r="K26" s="365"/>
      <c r="L26" s="366"/>
    </row>
    <row r="27" spans="1:12" x14ac:dyDescent="0.25">
      <c r="A27" s="94">
        <f>IF(C27&lt;&gt;"",'Cash Flow Analysis'!A74,"")</f>
        <v>2021</v>
      </c>
      <c r="B27" s="314">
        <f t="shared" si="1"/>
        <v>13</v>
      </c>
      <c r="C27" s="314">
        <f t="shared" si="2"/>
        <v>10</v>
      </c>
      <c r="D27" s="483"/>
      <c r="E27" s="217">
        <f>+'Carbon Sequestration'!$C$100*(C27&lt;=anal_period)</f>
        <v>0</v>
      </c>
      <c r="F27" s="217">
        <f t="shared" si="0"/>
        <v>0</v>
      </c>
      <c r="G27" s="217">
        <f t="shared" ca="1" si="3"/>
        <v>1239738.2989022506</v>
      </c>
      <c r="H27" s="218">
        <f t="shared" ca="1" si="4"/>
        <v>1216622.4719354766</v>
      </c>
      <c r="I27" s="363"/>
      <c r="J27" s="364"/>
      <c r="K27" s="365"/>
      <c r="L27" s="366"/>
    </row>
    <row r="28" spans="1:12" x14ac:dyDescent="0.25">
      <c r="A28" s="94">
        <f>IF(C28&lt;&gt;"",'Cash Flow Analysis'!A75,"")</f>
        <v>2022</v>
      </c>
      <c r="B28" s="314">
        <f t="shared" si="1"/>
        <v>14</v>
      </c>
      <c r="C28" s="314">
        <f t="shared" si="2"/>
        <v>11</v>
      </c>
      <c r="D28" s="483"/>
      <c r="E28" s="217">
        <f>+'Carbon Sequestration'!$C$100*(C28&lt;=anal_period)</f>
        <v>0</v>
      </c>
      <c r="F28" s="217">
        <f t="shared" si="0"/>
        <v>0</v>
      </c>
      <c r="G28" s="217">
        <f t="shared" ca="1" si="3"/>
        <v>1239738.2989022506</v>
      </c>
      <c r="H28" s="218">
        <f t="shared" ca="1" si="4"/>
        <v>1216622.4719354766</v>
      </c>
      <c r="I28" s="363"/>
      <c r="J28" s="364"/>
      <c r="K28" s="365"/>
      <c r="L28" s="366"/>
    </row>
    <row r="29" spans="1:12" x14ac:dyDescent="0.25">
      <c r="A29" s="94">
        <f>IF(C29&lt;&gt;"",'Cash Flow Analysis'!A76,"")</f>
        <v>2023</v>
      </c>
      <c r="B29" s="314">
        <f t="shared" si="1"/>
        <v>15</v>
      </c>
      <c r="C29" s="314">
        <f t="shared" si="2"/>
        <v>12</v>
      </c>
      <c r="D29" s="483"/>
      <c r="E29" s="217">
        <f>+'Carbon Sequestration'!$C$100*(C29&lt;=anal_period)</f>
        <v>0</v>
      </c>
      <c r="F29" s="217">
        <f t="shared" si="0"/>
        <v>0</v>
      </c>
      <c r="G29" s="217">
        <f t="shared" ca="1" si="3"/>
        <v>1239738.2989022506</v>
      </c>
      <c r="H29" s="218">
        <f t="shared" ca="1" si="4"/>
        <v>1216622.4719354766</v>
      </c>
      <c r="I29" s="363"/>
      <c r="J29" s="364"/>
      <c r="K29" s="365"/>
      <c r="L29" s="366"/>
    </row>
    <row r="30" spans="1:12" x14ac:dyDescent="0.25">
      <c r="A30" s="94">
        <f>IF(C30&lt;&gt;"",'Cash Flow Analysis'!A77,"")</f>
        <v>2024</v>
      </c>
      <c r="B30" s="314">
        <f t="shared" si="1"/>
        <v>16</v>
      </c>
      <c r="C30" s="314">
        <f t="shared" si="2"/>
        <v>13</v>
      </c>
      <c r="D30" s="483"/>
      <c r="E30" s="217">
        <f>+'Carbon Sequestration'!$C$100*(C30&lt;=anal_period)</f>
        <v>0</v>
      </c>
      <c r="F30" s="217">
        <f t="shared" si="0"/>
        <v>0</v>
      </c>
      <c r="G30" s="217">
        <f t="shared" ca="1" si="3"/>
        <v>1239738.2989022506</v>
      </c>
      <c r="H30" s="218">
        <f t="shared" ca="1" si="4"/>
        <v>1216622.4719354766</v>
      </c>
      <c r="I30" s="363"/>
      <c r="J30" s="364"/>
      <c r="K30" s="365"/>
      <c r="L30" s="366"/>
    </row>
    <row r="31" spans="1:12" x14ac:dyDescent="0.25">
      <c r="A31" s="94">
        <f>IF(C31&lt;&gt;"",'Cash Flow Analysis'!A78,"")</f>
        <v>2025</v>
      </c>
      <c r="B31" s="314">
        <f t="shared" si="1"/>
        <v>17</v>
      </c>
      <c r="C31" s="314">
        <f t="shared" si="2"/>
        <v>14</v>
      </c>
      <c r="D31" s="483"/>
      <c r="E31" s="217">
        <f>+'Carbon Sequestration'!$C$100*(C31&lt;=anal_period)</f>
        <v>0</v>
      </c>
      <c r="F31" s="217">
        <f t="shared" si="0"/>
        <v>0</v>
      </c>
      <c r="G31" s="217">
        <f t="shared" ca="1" si="3"/>
        <v>1239738.2989022506</v>
      </c>
      <c r="H31" s="218">
        <f t="shared" ca="1" si="4"/>
        <v>1216622.4719354766</v>
      </c>
      <c r="I31" s="363"/>
      <c r="J31" s="364"/>
      <c r="K31" s="365"/>
      <c r="L31" s="366"/>
    </row>
    <row r="32" spans="1:12" x14ac:dyDescent="0.25">
      <c r="A32" s="94">
        <f>IF(C32&lt;&gt;"",'Cash Flow Analysis'!A79,"")</f>
        <v>2026</v>
      </c>
      <c r="B32" s="314">
        <f t="shared" si="1"/>
        <v>18</v>
      </c>
      <c r="C32" s="314">
        <f t="shared" si="2"/>
        <v>15</v>
      </c>
      <c r="D32" s="483"/>
      <c r="E32" s="217">
        <f>+'Carbon Sequestration'!$C$100*(C32&lt;=anal_period)</f>
        <v>0</v>
      </c>
      <c r="F32" s="217">
        <f t="shared" si="0"/>
        <v>0</v>
      </c>
      <c r="G32" s="217">
        <f t="shared" ca="1" si="3"/>
        <v>1239738.2989022506</v>
      </c>
      <c r="H32" s="218">
        <f t="shared" ca="1" si="4"/>
        <v>1216622.4719354766</v>
      </c>
      <c r="I32" s="363"/>
      <c r="J32" s="364"/>
      <c r="K32" s="365"/>
      <c r="L32" s="366"/>
    </row>
    <row r="33" spans="1:12" x14ac:dyDescent="0.25">
      <c r="A33" s="94">
        <f>IF(C33&lt;&gt;"",'Cash Flow Analysis'!A80,"")</f>
        <v>2027</v>
      </c>
      <c r="B33" s="314">
        <f t="shared" si="1"/>
        <v>19</v>
      </c>
      <c r="C33" s="314">
        <f t="shared" si="2"/>
        <v>16</v>
      </c>
      <c r="D33" s="483"/>
      <c r="E33" s="217">
        <f>+'Carbon Sequestration'!$C$100*(C33&lt;=anal_period)</f>
        <v>0</v>
      </c>
      <c r="F33" s="217">
        <f t="shared" si="0"/>
        <v>0</v>
      </c>
      <c r="G33" s="217">
        <f t="shared" ca="1" si="3"/>
        <v>1239738.2989022506</v>
      </c>
      <c r="H33" s="218">
        <f t="shared" ca="1" si="4"/>
        <v>1216622.4719354766</v>
      </c>
      <c r="I33" s="363"/>
      <c r="J33" s="364"/>
      <c r="K33" s="365"/>
      <c r="L33" s="366"/>
    </row>
    <row r="34" spans="1:12" x14ac:dyDescent="0.25">
      <c r="A34" s="94">
        <f>IF(C34&lt;&gt;"",'Cash Flow Analysis'!A81,"")</f>
        <v>2028</v>
      </c>
      <c r="B34" s="314">
        <f t="shared" si="1"/>
        <v>20</v>
      </c>
      <c r="C34" s="314">
        <f t="shared" si="2"/>
        <v>17</v>
      </c>
      <c r="D34" s="483"/>
      <c r="E34" s="217">
        <f>+'Carbon Sequestration'!$C$100*(C34&lt;=anal_period)</f>
        <v>0</v>
      </c>
      <c r="F34" s="217">
        <f t="shared" si="0"/>
        <v>0</v>
      </c>
      <c r="G34" s="217">
        <f t="shared" ca="1" si="3"/>
        <v>1239738.2989022506</v>
      </c>
      <c r="H34" s="218">
        <f t="shared" ca="1" si="4"/>
        <v>1216622.4719354766</v>
      </c>
      <c r="I34" s="363"/>
      <c r="J34" s="364"/>
      <c r="K34" s="365"/>
      <c r="L34" s="366"/>
    </row>
    <row r="35" spans="1:12" x14ac:dyDescent="0.25">
      <c r="A35" s="94">
        <f>IF(C35&lt;&gt;"",'Cash Flow Analysis'!A82,"")</f>
        <v>2029</v>
      </c>
      <c r="B35" s="314">
        <f t="shared" si="1"/>
        <v>21</v>
      </c>
      <c r="C35" s="314">
        <f t="shared" si="2"/>
        <v>18</v>
      </c>
      <c r="D35" s="483"/>
      <c r="E35" s="217">
        <f>+'Carbon Sequestration'!$C$100*(C35&lt;=anal_period)</f>
        <v>0</v>
      </c>
      <c r="F35" s="217">
        <f t="shared" si="0"/>
        <v>0</v>
      </c>
      <c r="G35" s="217">
        <f t="shared" ca="1" si="3"/>
        <v>1239738.2989022506</v>
      </c>
      <c r="H35" s="218">
        <f t="shared" ca="1" si="4"/>
        <v>1216622.4719354766</v>
      </c>
      <c r="I35" s="363"/>
      <c r="J35" s="364"/>
      <c r="K35" s="365"/>
      <c r="L35" s="366"/>
    </row>
    <row r="36" spans="1:12" x14ac:dyDescent="0.25">
      <c r="A36" s="94">
        <f>IF(C36&lt;&gt;"",'Cash Flow Analysis'!A83,"")</f>
        <v>2030</v>
      </c>
      <c r="B36" s="314">
        <f t="shared" si="1"/>
        <v>22</v>
      </c>
      <c r="C36" s="314">
        <f t="shared" si="2"/>
        <v>19</v>
      </c>
      <c r="D36" s="483"/>
      <c r="E36" s="217">
        <f>+'Carbon Sequestration'!$C$100*(C36&lt;=anal_period)</f>
        <v>0</v>
      </c>
      <c r="F36" s="217">
        <f t="shared" si="0"/>
        <v>0</v>
      </c>
      <c r="G36" s="217">
        <f t="shared" ca="1" si="3"/>
        <v>1239738.2989022506</v>
      </c>
      <c r="H36" s="218">
        <f t="shared" ca="1" si="4"/>
        <v>1216622.4719354766</v>
      </c>
      <c r="I36" s="363"/>
      <c r="J36" s="364"/>
      <c r="K36" s="365"/>
      <c r="L36" s="366"/>
    </row>
    <row r="37" spans="1:12" x14ac:dyDescent="0.25">
      <c r="A37" s="94">
        <f>IF(C37&lt;&gt;"",'Cash Flow Analysis'!A84,"")</f>
        <v>2031</v>
      </c>
      <c r="B37" s="314">
        <f t="shared" si="1"/>
        <v>23</v>
      </c>
      <c r="C37" s="314">
        <f t="shared" si="2"/>
        <v>20</v>
      </c>
      <c r="D37" s="483"/>
      <c r="E37" s="217">
        <f>+'Carbon Sequestration'!$C$100*(C37&lt;=anal_period)</f>
        <v>0</v>
      </c>
      <c r="F37" s="217">
        <f t="shared" si="0"/>
        <v>0</v>
      </c>
      <c r="G37" s="217">
        <f t="shared" ca="1" si="3"/>
        <v>1239738.2989022506</v>
      </c>
      <c r="H37" s="218">
        <f t="shared" ca="1" si="4"/>
        <v>1216622.4719354766</v>
      </c>
      <c r="I37" s="363"/>
      <c r="J37" s="364"/>
      <c r="K37" s="365"/>
      <c r="L37" s="366"/>
    </row>
    <row r="38" spans="1:12" x14ac:dyDescent="0.25">
      <c r="A38" s="94">
        <f>IF(C38&lt;&gt;"",'Cash Flow Analysis'!A85,"")</f>
        <v>2032</v>
      </c>
      <c r="B38" s="314">
        <f t="shared" si="1"/>
        <v>24</v>
      </c>
      <c r="C38" s="314">
        <f t="shared" si="2"/>
        <v>21</v>
      </c>
      <c r="D38" s="483"/>
      <c r="E38" s="217">
        <f>+'Carbon Sequestration'!$C$100*(C38&lt;=anal_period)</f>
        <v>0</v>
      </c>
      <c r="F38" s="217">
        <f t="shared" si="0"/>
        <v>0</v>
      </c>
      <c r="G38" s="217">
        <f t="shared" ca="1" si="3"/>
        <v>1239738.2989022506</v>
      </c>
      <c r="H38" s="218">
        <f t="shared" ca="1" si="4"/>
        <v>1216622.4719354766</v>
      </c>
      <c r="I38" s="363"/>
      <c r="J38" s="364"/>
      <c r="K38" s="365"/>
      <c r="L38" s="366"/>
    </row>
    <row r="39" spans="1:12" x14ac:dyDescent="0.25">
      <c r="A39" s="94">
        <f>IF(C39&lt;&gt;"",'Cash Flow Analysis'!A86,"")</f>
        <v>2033</v>
      </c>
      <c r="B39" s="314">
        <f t="shared" si="1"/>
        <v>25</v>
      </c>
      <c r="C39" s="314">
        <f t="shared" si="2"/>
        <v>22</v>
      </c>
      <c r="D39" s="483"/>
      <c r="E39" s="217">
        <f>+'Carbon Sequestration'!$C$100*(C39&lt;=anal_period)</f>
        <v>0</v>
      </c>
      <c r="F39" s="217">
        <f t="shared" si="0"/>
        <v>0</v>
      </c>
      <c r="G39" s="217">
        <f t="shared" ca="1" si="3"/>
        <v>1239738.2989022506</v>
      </c>
      <c r="H39" s="218">
        <f t="shared" ca="1" si="4"/>
        <v>1216622.4719354766</v>
      </c>
      <c r="I39" s="363"/>
      <c r="J39" s="364"/>
      <c r="K39" s="365"/>
      <c r="L39" s="366"/>
    </row>
    <row r="40" spans="1:12" x14ac:dyDescent="0.25">
      <c r="A40" s="94">
        <f>IF(C40&lt;&gt;"",'Cash Flow Analysis'!A87,"")</f>
        <v>2034</v>
      </c>
      <c r="B40" s="314">
        <f t="shared" si="1"/>
        <v>26</v>
      </c>
      <c r="C40" s="314">
        <f t="shared" si="2"/>
        <v>23</v>
      </c>
      <c r="D40" s="483"/>
      <c r="E40" s="217">
        <f>+'Carbon Sequestration'!$C$100*(C40&lt;=anal_period)</f>
        <v>0</v>
      </c>
      <c r="F40" s="217">
        <f t="shared" si="0"/>
        <v>0</v>
      </c>
      <c r="G40" s="217">
        <f t="shared" ca="1" si="3"/>
        <v>1239738.2989022506</v>
      </c>
      <c r="H40" s="218">
        <f t="shared" ca="1" si="4"/>
        <v>1216622.4719354766</v>
      </c>
      <c r="I40" s="363"/>
      <c r="J40" s="364"/>
      <c r="K40" s="365"/>
      <c r="L40" s="366"/>
    </row>
    <row r="41" spans="1:12" x14ac:dyDescent="0.25">
      <c r="A41" s="94">
        <f>IF(C41&lt;&gt;"",'Cash Flow Analysis'!A88,"")</f>
        <v>2035</v>
      </c>
      <c r="B41" s="314">
        <f t="shared" si="1"/>
        <v>27</v>
      </c>
      <c r="C41" s="314">
        <f t="shared" si="2"/>
        <v>24</v>
      </c>
      <c r="D41" s="483"/>
      <c r="E41" s="217">
        <f>+'Carbon Sequestration'!$C$100*(C41&lt;=anal_period)</f>
        <v>0</v>
      </c>
      <c r="F41" s="217">
        <f t="shared" si="0"/>
        <v>0</v>
      </c>
      <c r="G41" s="217">
        <f t="shared" ca="1" si="3"/>
        <v>1239738.2989022506</v>
      </c>
      <c r="H41" s="218">
        <f t="shared" ca="1" si="4"/>
        <v>1216622.4719354766</v>
      </c>
      <c r="I41" s="363"/>
      <c r="J41" s="364"/>
      <c r="K41" s="365"/>
      <c r="L41" s="366"/>
    </row>
    <row r="42" spans="1:12" x14ac:dyDescent="0.25">
      <c r="A42" s="94">
        <f>IF(C42&lt;&gt;"",'Cash Flow Analysis'!A89,"")</f>
        <v>2036</v>
      </c>
      <c r="B42" s="314">
        <f t="shared" si="1"/>
        <v>28</v>
      </c>
      <c r="C42" s="314">
        <f t="shared" si="2"/>
        <v>25</v>
      </c>
      <c r="D42" s="483"/>
      <c r="E42" s="217">
        <f>+'Carbon Sequestration'!$C$100*(C42&lt;=anal_period)</f>
        <v>0</v>
      </c>
      <c r="F42" s="217">
        <f t="shared" si="0"/>
        <v>0</v>
      </c>
      <c r="G42" s="217">
        <f t="shared" ca="1" si="3"/>
        <v>1239738.2989022506</v>
      </c>
      <c r="H42" s="218">
        <f t="shared" ca="1" si="4"/>
        <v>1216622.4719354766</v>
      </c>
      <c r="I42" s="363"/>
      <c r="J42" s="364"/>
      <c r="K42" s="365"/>
      <c r="L42" s="366"/>
    </row>
    <row r="43" spans="1:12" x14ac:dyDescent="0.25">
      <c r="A43" s="94">
        <f>IF(C43&lt;&gt;"",'Cash Flow Analysis'!A90,"")</f>
        <v>2037</v>
      </c>
      <c r="B43" s="314">
        <f t="shared" si="1"/>
        <v>29</v>
      </c>
      <c r="C43" s="314">
        <f t="shared" si="2"/>
        <v>26</v>
      </c>
      <c r="D43" s="483"/>
      <c r="E43" s="217">
        <f>+'Carbon Sequestration'!$C$100*(C43&lt;=anal_period)</f>
        <v>0</v>
      </c>
      <c r="F43" s="217">
        <f t="shared" si="0"/>
        <v>0</v>
      </c>
      <c r="G43" s="217">
        <f t="shared" ca="1" si="3"/>
        <v>1239738.2989022506</v>
      </c>
      <c r="H43" s="218">
        <f t="shared" ca="1" si="4"/>
        <v>1216622.4719354766</v>
      </c>
      <c r="I43" s="363"/>
      <c r="J43" s="364"/>
      <c r="K43" s="365"/>
      <c r="L43" s="366"/>
    </row>
    <row r="44" spans="1:12" x14ac:dyDescent="0.25">
      <c r="A44" s="94">
        <f>IF(C44&lt;&gt;"",'Cash Flow Analysis'!A91,"")</f>
        <v>2038</v>
      </c>
      <c r="B44" s="314">
        <f t="shared" si="1"/>
        <v>30</v>
      </c>
      <c r="C44" s="314">
        <f t="shared" si="2"/>
        <v>27</v>
      </c>
      <c r="D44" s="483"/>
      <c r="E44" s="217">
        <f>+'Carbon Sequestration'!$C$100*(C44&lt;=anal_period)</f>
        <v>0</v>
      </c>
      <c r="F44" s="217">
        <f t="shared" si="0"/>
        <v>0</v>
      </c>
      <c r="G44" s="217">
        <f t="shared" ca="1" si="3"/>
        <v>1239738.2989022506</v>
      </c>
      <c r="H44" s="218">
        <f t="shared" ca="1" si="4"/>
        <v>1216622.4719354766</v>
      </c>
      <c r="I44" s="363"/>
      <c r="J44" s="364"/>
      <c r="K44" s="365"/>
      <c r="L44" s="366"/>
    </row>
    <row r="45" spans="1:12" x14ac:dyDescent="0.25">
      <c r="A45" s="94">
        <f>IF(C45&lt;&gt;"",'Cash Flow Analysis'!A92,"")</f>
        <v>2039</v>
      </c>
      <c r="B45" s="314">
        <f t="shared" si="1"/>
        <v>31</v>
      </c>
      <c r="C45" s="314">
        <f t="shared" si="2"/>
        <v>28</v>
      </c>
      <c r="D45" s="483"/>
      <c r="E45" s="217">
        <f>+'Carbon Sequestration'!$C$100*(C45&lt;=anal_period)</f>
        <v>0</v>
      </c>
      <c r="F45" s="217">
        <f t="shared" si="0"/>
        <v>0</v>
      </c>
      <c r="G45" s="217">
        <f t="shared" ca="1" si="3"/>
        <v>1239738.2989022506</v>
      </c>
      <c r="H45" s="218">
        <f t="shared" ca="1" si="4"/>
        <v>1216622.4719354766</v>
      </c>
      <c r="I45" s="363"/>
      <c r="J45" s="364"/>
      <c r="K45" s="365"/>
      <c r="L45" s="366"/>
    </row>
    <row r="46" spans="1:12" x14ac:dyDescent="0.25">
      <c r="A46" s="94">
        <f>IF(C46&lt;&gt;"",'Cash Flow Analysis'!A93,"")</f>
        <v>2040</v>
      </c>
      <c r="B46" s="314">
        <f t="shared" si="1"/>
        <v>32</v>
      </c>
      <c r="C46" s="314">
        <f t="shared" si="2"/>
        <v>29</v>
      </c>
      <c r="D46" s="483"/>
      <c r="E46" s="217">
        <f>+'Carbon Sequestration'!$C$100*(C46&lt;=anal_period)</f>
        <v>0</v>
      </c>
      <c r="F46" s="217">
        <f t="shared" si="0"/>
        <v>0</v>
      </c>
      <c r="G46" s="217">
        <f t="shared" ca="1" si="3"/>
        <v>1239738.2989022506</v>
      </c>
      <c r="H46" s="218">
        <f t="shared" ca="1" si="4"/>
        <v>1216622.4719354766</v>
      </c>
      <c r="I46" s="363"/>
      <c r="J46" s="364"/>
      <c r="K46" s="365"/>
      <c r="L46" s="366"/>
    </row>
    <row r="47" spans="1:12" x14ac:dyDescent="0.25">
      <c r="A47" s="94">
        <f>IF(C47&lt;&gt;"",'Cash Flow Analysis'!A94,"")</f>
        <v>2041</v>
      </c>
      <c r="B47" s="314">
        <f t="shared" si="1"/>
        <v>33</v>
      </c>
      <c r="C47" s="314">
        <f t="shared" si="2"/>
        <v>30</v>
      </c>
      <c r="D47" s="483"/>
      <c r="E47" s="217">
        <f>+'Carbon Sequestration'!$C$100*(C47&lt;=anal_period)</f>
        <v>0</v>
      </c>
      <c r="F47" s="217">
        <f t="shared" si="0"/>
        <v>0</v>
      </c>
      <c r="G47" s="217">
        <f t="shared" ca="1" si="3"/>
        <v>1239738.2989022506</v>
      </c>
      <c r="H47" s="218">
        <f t="shared" ca="1" si="4"/>
        <v>1216622.4719354766</v>
      </c>
      <c r="I47" s="363"/>
      <c r="J47" s="364"/>
      <c r="K47" s="365"/>
      <c r="L47" s="366"/>
    </row>
    <row r="48" spans="1:12" x14ac:dyDescent="0.25">
      <c r="A48" s="94">
        <f>IF(C48&lt;&gt;"",'Cash Flow Analysis'!A95,"")</f>
        <v>2042</v>
      </c>
      <c r="B48" s="314">
        <f t="shared" si="1"/>
        <v>34</v>
      </c>
      <c r="C48" s="314">
        <f t="shared" si="2"/>
        <v>31</v>
      </c>
      <c r="D48" s="483"/>
      <c r="E48" s="217">
        <f>+'Carbon Sequestration'!$C$100*(C48&lt;=anal_period)</f>
        <v>0</v>
      </c>
      <c r="F48" s="217">
        <f t="shared" si="0"/>
        <v>0</v>
      </c>
      <c r="G48" s="217">
        <f t="shared" ca="1" si="3"/>
        <v>1239738.2989022506</v>
      </c>
      <c r="H48" s="218">
        <f t="shared" ca="1" si="4"/>
        <v>1216622.4719354766</v>
      </c>
      <c r="I48" s="363"/>
      <c r="J48" s="364"/>
      <c r="K48" s="365"/>
      <c r="L48" s="366"/>
    </row>
    <row r="49" spans="1:12" x14ac:dyDescent="0.25">
      <c r="A49" s="94">
        <f>IF(C49&lt;&gt;"",'Cash Flow Analysis'!A96,"")</f>
        <v>2043</v>
      </c>
      <c r="B49" s="314">
        <f t="shared" si="1"/>
        <v>35</v>
      </c>
      <c r="C49" s="314">
        <f t="shared" si="2"/>
        <v>32</v>
      </c>
      <c r="D49" s="483"/>
      <c r="E49" s="217">
        <f>+'Carbon Sequestration'!$C$100*(C49&lt;=anal_period)</f>
        <v>0</v>
      </c>
      <c r="F49" s="217">
        <f t="shared" si="0"/>
        <v>0</v>
      </c>
      <c r="G49" s="217">
        <f t="shared" ca="1" si="3"/>
        <v>1239738.2989022506</v>
      </c>
      <c r="H49" s="218">
        <f t="shared" ca="1" si="4"/>
        <v>1216622.4719354766</v>
      </c>
      <c r="I49" s="363"/>
      <c r="J49" s="364"/>
      <c r="K49" s="365"/>
      <c r="L49" s="366"/>
    </row>
    <row r="50" spans="1:12" x14ac:dyDescent="0.25">
      <c r="A50" s="94">
        <f>IF(C50&lt;&gt;"",'Cash Flow Analysis'!A97,"")</f>
        <v>2044</v>
      </c>
      <c r="B50" s="314">
        <f t="shared" si="1"/>
        <v>36</v>
      </c>
      <c r="C50" s="314">
        <f t="shared" si="2"/>
        <v>33</v>
      </c>
      <c r="D50" s="483"/>
      <c r="E50" s="217">
        <f>+'Carbon Sequestration'!$C$100*(C50&lt;=anal_period)</f>
        <v>0</v>
      </c>
      <c r="F50" s="217">
        <f t="shared" si="0"/>
        <v>0</v>
      </c>
      <c r="G50" s="217">
        <f t="shared" ca="1" si="3"/>
        <v>1239738.2989022506</v>
      </c>
      <c r="H50" s="218">
        <f t="shared" ca="1" si="4"/>
        <v>1216622.4719354766</v>
      </c>
      <c r="I50" s="363"/>
      <c r="J50" s="364"/>
      <c r="K50" s="365"/>
      <c r="L50" s="366"/>
    </row>
    <row r="51" spans="1:12" x14ac:dyDescent="0.25">
      <c r="A51" s="94">
        <f>IF(C51&lt;&gt;"",'Cash Flow Analysis'!A98,"")</f>
        <v>2045</v>
      </c>
      <c r="B51" s="314">
        <f t="shared" si="1"/>
        <v>37</v>
      </c>
      <c r="C51" s="314">
        <f t="shared" si="2"/>
        <v>34</v>
      </c>
      <c r="D51" s="483"/>
      <c r="E51" s="217">
        <f>+'Carbon Sequestration'!$C$100*(C51&lt;=anal_period)</f>
        <v>0</v>
      </c>
      <c r="F51" s="217">
        <f t="shared" si="0"/>
        <v>0</v>
      </c>
      <c r="G51" s="217">
        <f t="shared" ca="1" si="3"/>
        <v>1239738.2989022506</v>
      </c>
      <c r="H51" s="218">
        <f t="shared" ca="1" si="4"/>
        <v>1216622.4719354766</v>
      </c>
      <c r="I51" s="363"/>
      <c r="J51" s="364"/>
      <c r="K51" s="365"/>
      <c r="L51" s="366"/>
    </row>
    <row r="52" spans="1:12" x14ac:dyDescent="0.25">
      <c r="A52" s="94">
        <f>IF(C52&lt;&gt;"",'Cash Flow Analysis'!A99,"")</f>
        <v>2046</v>
      </c>
      <c r="B52" s="314">
        <f t="shared" si="1"/>
        <v>38</v>
      </c>
      <c r="C52" s="314">
        <f t="shared" si="2"/>
        <v>35</v>
      </c>
      <c r="D52" s="483"/>
      <c r="E52" s="217">
        <f>+'Carbon Sequestration'!$C$100*(C52&lt;=anal_period)</f>
        <v>0</v>
      </c>
      <c r="F52" s="217">
        <f t="shared" si="0"/>
        <v>0</v>
      </c>
      <c r="G52" s="217">
        <f t="shared" ca="1" si="3"/>
        <v>1239738.2989022506</v>
      </c>
      <c r="H52" s="218">
        <f t="shared" ca="1" si="4"/>
        <v>1216622.4719354766</v>
      </c>
      <c r="I52" s="363"/>
      <c r="J52" s="364"/>
      <c r="K52" s="365"/>
      <c r="L52" s="366"/>
    </row>
    <row r="53" spans="1:12" x14ac:dyDescent="0.25">
      <c r="A53" s="94">
        <f>IF(C53&lt;&gt;"",'Cash Flow Analysis'!A100,"")</f>
        <v>2047</v>
      </c>
      <c r="B53" s="314">
        <f t="shared" si="1"/>
        <v>39</v>
      </c>
      <c r="C53" s="314">
        <f t="shared" si="2"/>
        <v>36</v>
      </c>
      <c r="D53" s="483"/>
      <c r="E53" s="217">
        <f>+'Carbon Sequestration'!$C$100*(C53&lt;=anal_period)</f>
        <v>0</v>
      </c>
      <c r="F53" s="217">
        <f t="shared" si="0"/>
        <v>0</v>
      </c>
      <c r="G53" s="217">
        <f t="shared" ca="1" si="3"/>
        <v>1239738.2989022506</v>
      </c>
      <c r="H53" s="218">
        <f t="shared" ca="1" si="4"/>
        <v>1216622.4719354766</v>
      </c>
      <c r="I53" s="363"/>
      <c r="J53" s="364"/>
      <c r="K53" s="365"/>
      <c r="L53" s="366"/>
    </row>
    <row r="54" spans="1:12" x14ac:dyDescent="0.25">
      <c r="A54" s="94">
        <f>IF(C54&lt;&gt;"",'Cash Flow Analysis'!A101,"")</f>
        <v>2048</v>
      </c>
      <c r="B54" s="314">
        <f t="shared" si="1"/>
        <v>40</v>
      </c>
      <c r="C54" s="314">
        <f t="shared" si="2"/>
        <v>37</v>
      </c>
      <c r="D54" s="483"/>
      <c r="E54" s="217">
        <f>+'Carbon Sequestration'!$C$100*(C54&lt;=anal_period)</f>
        <v>0</v>
      </c>
      <c r="F54" s="217">
        <f t="shared" si="0"/>
        <v>0</v>
      </c>
      <c r="G54" s="217">
        <f t="shared" ca="1" si="3"/>
        <v>1239738.2989022506</v>
      </c>
      <c r="H54" s="218">
        <f t="shared" ca="1" si="4"/>
        <v>1216622.4719354766</v>
      </c>
      <c r="I54" s="363"/>
      <c r="J54" s="364"/>
      <c r="K54" s="365"/>
      <c r="L54" s="366"/>
    </row>
    <row r="55" spans="1:12" x14ac:dyDescent="0.25">
      <c r="A55" s="94">
        <f>IF(C55&lt;&gt;"",'Cash Flow Analysis'!A102,"")</f>
        <v>2049</v>
      </c>
      <c r="B55" s="314">
        <f t="shared" si="1"/>
        <v>41</v>
      </c>
      <c r="C55" s="314">
        <f t="shared" si="2"/>
        <v>38</v>
      </c>
      <c r="D55" s="483"/>
      <c r="E55" s="217">
        <f>+'Carbon Sequestration'!$C$100*(C55&lt;=anal_period)</f>
        <v>0</v>
      </c>
      <c r="F55" s="217">
        <f t="shared" si="0"/>
        <v>0</v>
      </c>
      <c r="G55" s="217">
        <f t="shared" ca="1" si="3"/>
        <v>1239738.2989022506</v>
      </c>
      <c r="H55" s="218">
        <f t="shared" ca="1" si="4"/>
        <v>1216622.4719354766</v>
      </c>
      <c r="I55" s="363"/>
      <c r="J55" s="364"/>
      <c r="K55" s="365"/>
      <c r="L55" s="366"/>
    </row>
    <row r="56" spans="1:12" x14ac:dyDescent="0.25">
      <c r="A56" s="94">
        <f>IF(C56&lt;&gt;"",'Cash Flow Analysis'!A103,"")</f>
        <v>2050</v>
      </c>
      <c r="B56" s="314">
        <f t="shared" si="1"/>
        <v>42</v>
      </c>
      <c r="C56" s="314">
        <f t="shared" si="2"/>
        <v>39</v>
      </c>
      <c r="D56" s="483"/>
      <c r="E56" s="217">
        <f>+'Carbon Sequestration'!$C$100*(C56&lt;=anal_period)</f>
        <v>0</v>
      </c>
      <c r="F56" s="217">
        <f t="shared" si="0"/>
        <v>0</v>
      </c>
      <c r="G56" s="217">
        <f t="shared" ca="1" si="3"/>
        <v>1239738.2989022506</v>
      </c>
      <c r="H56" s="218">
        <f t="shared" ca="1" si="4"/>
        <v>1216622.4719354766</v>
      </c>
      <c r="I56" s="363"/>
      <c r="J56" s="364"/>
      <c r="K56" s="365"/>
      <c r="L56" s="366"/>
    </row>
    <row r="57" spans="1:12" ht="13" thickBot="1" x14ac:dyDescent="0.3">
      <c r="A57" s="96">
        <f>IF(C57&lt;&gt;"",'Cash Flow Analysis'!A104,"")</f>
        <v>2051</v>
      </c>
      <c r="B57" s="315">
        <f t="shared" si="1"/>
        <v>43</v>
      </c>
      <c r="C57" s="315">
        <f t="shared" si="2"/>
        <v>40</v>
      </c>
      <c r="D57" s="484"/>
      <c r="E57" s="219">
        <f>+'Carbon Sequestration'!$C$100*(C57&lt;=anal_period)</f>
        <v>0</v>
      </c>
      <c r="F57" s="219">
        <f t="shared" si="0"/>
        <v>0</v>
      </c>
      <c r="G57" s="219">
        <f t="shared" ca="1" si="3"/>
        <v>1239738.2989022506</v>
      </c>
      <c r="H57" s="220">
        <f t="shared" ca="1" si="4"/>
        <v>1216622.4719354766</v>
      </c>
      <c r="I57" s="367"/>
      <c r="J57" s="368"/>
      <c r="K57" s="369"/>
      <c r="L57" s="370"/>
    </row>
    <row r="58" spans="1:12" ht="13"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37"/>
  <sheetViews>
    <sheetView workbookViewId="0">
      <selection activeCell="C10" sqref="C10"/>
    </sheetView>
  </sheetViews>
  <sheetFormatPr defaultRowHeight="12.5" x14ac:dyDescent="0.25"/>
  <cols>
    <col min="2" max="2" width="35" customWidth="1"/>
    <col min="3" max="3" width="19.7265625" customWidth="1"/>
    <col min="4" max="5" width="18.7265625" customWidth="1"/>
    <col min="6" max="6" width="22.54296875" customWidth="1"/>
    <col min="7" max="7" width="51.1796875" customWidth="1"/>
    <col min="8" max="8" width="27.1796875" customWidth="1"/>
  </cols>
  <sheetData>
    <row r="2" spans="2:8" ht="22.5" customHeight="1" x14ac:dyDescent="0.65">
      <c r="B2" s="818" t="s">
        <v>83</v>
      </c>
      <c r="F2" s="1569"/>
      <c r="G2" s="1569"/>
      <c r="H2" s="1569"/>
    </row>
    <row r="3" spans="2:8" x14ac:dyDescent="0.25">
      <c r="F3" s="1569"/>
      <c r="G3" s="1569"/>
      <c r="H3" s="1569"/>
    </row>
    <row r="4" spans="2:8" ht="15.5" x14ac:dyDescent="0.35">
      <c r="C4" s="817" t="s">
        <v>233</v>
      </c>
      <c r="F4" s="1569"/>
      <c r="G4" s="1569"/>
      <c r="H4" s="1569"/>
    </row>
    <row r="5" spans="2:8" ht="15.5" x14ac:dyDescent="0.35">
      <c r="C5" s="817"/>
    </row>
    <row r="6" spans="2:8" ht="16" thickBot="1" x14ac:dyDescent="0.4">
      <c r="C6" s="817"/>
    </row>
    <row r="7" spans="2:8" ht="26.5" thickBot="1" x14ac:dyDescent="0.35">
      <c r="B7" s="988" t="s">
        <v>827</v>
      </c>
      <c r="C7" s="989">
        <v>379387</v>
      </c>
      <c r="D7" s="1570" t="s">
        <v>828</v>
      </c>
      <c r="E7" s="1571"/>
      <c r="F7" s="1571"/>
      <c r="G7" s="1571"/>
      <c r="H7" s="1572"/>
    </row>
    <row r="8" spans="2:8" ht="13.5" thickBot="1" x14ac:dyDescent="0.35">
      <c r="D8" s="1568" t="s">
        <v>1030</v>
      </c>
      <c r="E8" s="1566"/>
      <c r="F8" s="1566"/>
      <c r="G8" s="1566"/>
      <c r="H8" s="1566"/>
    </row>
    <row r="9" spans="2:8" ht="13" x14ac:dyDescent="0.3">
      <c r="B9" s="1" t="s">
        <v>842</v>
      </c>
      <c r="C9" s="1011">
        <f>BasisYear</f>
        <v>2005</v>
      </c>
      <c r="D9" s="1573"/>
      <c r="E9" s="1574"/>
      <c r="F9" s="1574"/>
      <c r="G9" s="1574"/>
      <c r="H9" s="1575"/>
    </row>
    <row r="10" spans="2:8" ht="13" x14ac:dyDescent="0.3">
      <c r="B10" s="1" t="s">
        <v>773</v>
      </c>
      <c r="C10" s="986">
        <v>2010</v>
      </c>
      <c r="D10" s="1562"/>
      <c r="E10" s="1563"/>
      <c r="F10" s="1563"/>
      <c r="G10" s="1563"/>
      <c r="H10" s="1564"/>
    </row>
    <row r="11" spans="2:8" ht="13" x14ac:dyDescent="0.3">
      <c r="B11" s="1" t="str">
        <f>"CEPCI Inflator ("&amp;BasisYear&amp;" to "&amp;CurrentYear&amp;")"</f>
        <v>CEPCI Inflator (2005 to 2010)</v>
      </c>
      <c r="C11" s="1009">
        <f>VLOOKUP(CurrentYear,Tbl_PlantCostIndexes,2,FALSE)/VLOOKUP(BasisYear,Tbl_PlantCostIndexes,2,FALSE)</f>
        <v>1.176420333190944</v>
      </c>
      <c r="D11" s="1562" t="s">
        <v>820</v>
      </c>
      <c r="E11" s="1563"/>
      <c r="F11" s="1563"/>
      <c r="G11" s="1563"/>
      <c r="H11" s="1564"/>
    </row>
    <row r="12" spans="2:8" ht="13.5" thickBot="1" x14ac:dyDescent="0.35">
      <c r="B12" s="1" t="str">
        <f>"Consumer Price Inflator ("&amp;CurrentYear&amp;" to "&amp;ref_year&amp;")"</f>
        <v>Consumer Price Inflator (2010 to 2016)</v>
      </c>
      <c r="C12" s="1010">
        <f>VLOOKUP(ref_year,DeflatorTable,2,FALSE)/VLOOKUP(CurrentYear,DeflatorTable,2,FALSE)</f>
        <v>1.100724186648488</v>
      </c>
      <c r="D12" s="1565" t="s">
        <v>821</v>
      </c>
      <c r="E12" s="1566"/>
      <c r="F12" s="1566"/>
      <c r="G12" s="1566"/>
      <c r="H12" s="1567"/>
    </row>
    <row r="13" spans="2:8" ht="13" thickBot="1" x14ac:dyDescent="0.3"/>
    <row r="14" spans="2:8" ht="16.5" thickTop="1" thickBot="1" x14ac:dyDescent="0.4">
      <c r="B14" s="971" t="str">
        <f xml:space="preserve"> "CAPITAL INVESTMENT (Inputs REQUIRED in Basis Year, (" &amp; BasisYear &amp; ") $)"</f>
        <v>CAPITAL INVESTMENT (Inputs REQUIRED in Basis Year, (2005) $)</v>
      </c>
      <c r="C14" s="972"/>
      <c r="D14" s="972"/>
      <c r="E14" s="972"/>
      <c r="F14" s="972"/>
      <c r="G14" s="972"/>
      <c r="H14" s="973"/>
    </row>
    <row r="15" spans="2:8" ht="32" thickTop="1" thickBot="1" x14ac:dyDescent="0.4">
      <c r="B15" s="513" t="s">
        <v>667</v>
      </c>
      <c r="C15" s="514" t="str">
        <f>"Baseline Uninstalled Costs $"&amp;BasisYear&amp;" Dollars"</f>
        <v>Baseline Uninstalled Costs $2005 Dollars</v>
      </c>
      <c r="D15" s="514" t="str">
        <f>"Baseline Uninstalled Costs $"&amp;ref_year&amp;" Dollars"</f>
        <v>Baseline Uninstalled Costs $2016 Dollars</v>
      </c>
      <c r="E15" s="514" t="s">
        <v>668</v>
      </c>
      <c r="F15" s="489" t="s">
        <v>1060</v>
      </c>
      <c r="G15" s="514" t="s">
        <v>1030</v>
      </c>
      <c r="H15" s="519" t="s">
        <v>670</v>
      </c>
    </row>
    <row r="16" spans="2:8" x14ac:dyDescent="0.25">
      <c r="B16" s="1272" t="s">
        <v>1416</v>
      </c>
      <c r="C16" s="1463">
        <v>49969788</v>
      </c>
      <c r="D16" s="517">
        <f>C16*CEPCIinflator*CPIinflator</f>
        <v>64706593.769150347</v>
      </c>
      <c r="E16" s="1274">
        <v>1.92</v>
      </c>
      <c r="F16" s="517">
        <f>D16*E16</f>
        <v>124236660.03676866</v>
      </c>
      <c r="G16" s="526"/>
      <c r="H16" s="736"/>
    </row>
    <row r="17" spans="2:8" x14ac:dyDescent="0.25">
      <c r="B17" s="1273" t="s">
        <v>1417</v>
      </c>
      <c r="C17" s="1464">
        <v>19964651</v>
      </c>
      <c r="D17" s="517">
        <f t="shared" ref="D17:D35" si="0">C17*CEPCIinflator*CPIinflator</f>
        <v>25852512.36206688</v>
      </c>
      <c r="E17" s="1275">
        <v>1.92</v>
      </c>
      <c r="F17" s="517">
        <f t="shared" ref="F17:F35" si="1">D17*E17</f>
        <v>49636823.735168405</v>
      </c>
      <c r="G17" s="527"/>
      <c r="H17" s="737"/>
    </row>
    <row r="18" spans="2:8" x14ac:dyDescent="0.25">
      <c r="B18" s="1273" t="s">
        <v>1418</v>
      </c>
      <c r="C18" s="1464">
        <v>296651</v>
      </c>
      <c r="D18" s="517">
        <f t="shared" si="0"/>
        <v>384137.62628354999</v>
      </c>
      <c r="E18" s="1275">
        <v>1.92</v>
      </c>
      <c r="F18" s="517">
        <f t="shared" si="1"/>
        <v>737544.24246441596</v>
      </c>
      <c r="G18" s="527"/>
      <c r="H18" s="737"/>
    </row>
    <row r="19" spans="2:8" x14ac:dyDescent="0.25">
      <c r="B19" s="1273"/>
      <c r="C19" s="1464"/>
      <c r="D19" s="517">
        <f t="shared" si="0"/>
        <v>0</v>
      </c>
      <c r="E19" s="1275"/>
      <c r="F19" s="517">
        <f t="shared" si="1"/>
        <v>0</v>
      </c>
      <c r="G19" s="527"/>
      <c r="H19" s="737"/>
    </row>
    <row r="20" spans="2:8" x14ac:dyDescent="0.25">
      <c r="B20" s="1273"/>
      <c r="C20" s="1464"/>
      <c r="D20" s="517">
        <f t="shared" si="0"/>
        <v>0</v>
      </c>
      <c r="E20" s="1275"/>
      <c r="F20" s="517">
        <f t="shared" si="1"/>
        <v>0</v>
      </c>
      <c r="G20" s="527"/>
      <c r="H20" s="737"/>
    </row>
    <row r="21" spans="2:8" x14ac:dyDescent="0.25">
      <c r="B21" s="1273"/>
      <c r="C21" s="1464"/>
      <c r="D21" s="517">
        <f t="shared" si="0"/>
        <v>0</v>
      </c>
      <c r="E21" s="1275"/>
      <c r="F21" s="517">
        <f t="shared" si="1"/>
        <v>0</v>
      </c>
      <c r="G21" s="527"/>
      <c r="H21" s="737"/>
    </row>
    <row r="22" spans="2:8" x14ac:dyDescent="0.25">
      <c r="B22" s="1273"/>
      <c r="C22" s="1464"/>
      <c r="D22" s="517">
        <f t="shared" si="0"/>
        <v>0</v>
      </c>
      <c r="E22" s="1275"/>
      <c r="F22" s="517">
        <f t="shared" si="1"/>
        <v>0</v>
      </c>
      <c r="G22" s="527"/>
      <c r="H22" s="737"/>
    </row>
    <row r="23" spans="2:8" x14ac:dyDescent="0.25">
      <c r="B23" s="1273"/>
      <c r="C23" s="1464"/>
      <c r="D23" s="517">
        <f t="shared" si="0"/>
        <v>0</v>
      </c>
      <c r="E23" s="1275"/>
      <c r="F23" s="517">
        <f t="shared" si="1"/>
        <v>0</v>
      </c>
      <c r="G23" s="527"/>
      <c r="H23" s="737"/>
    </row>
    <row r="24" spans="2:8" x14ac:dyDescent="0.25">
      <c r="B24" s="1273"/>
      <c r="C24" s="1465"/>
      <c r="D24" s="517">
        <f t="shared" si="0"/>
        <v>0</v>
      </c>
      <c r="E24" s="1275"/>
      <c r="F24" s="517">
        <f t="shared" si="1"/>
        <v>0</v>
      </c>
      <c r="G24" s="527"/>
      <c r="H24" s="737"/>
    </row>
    <row r="25" spans="2:8" x14ac:dyDescent="0.25">
      <c r="B25" s="1273"/>
      <c r="C25" s="1465"/>
      <c r="D25" s="517">
        <f t="shared" si="0"/>
        <v>0</v>
      </c>
      <c r="E25" s="1275"/>
      <c r="F25" s="517">
        <f t="shared" si="1"/>
        <v>0</v>
      </c>
      <c r="G25" s="527"/>
      <c r="H25" s="737"/>
    </row>
    <row r="26" spans="2:8" x14ac:dyDescent="0.25">
      <c r="B26" s="1273"/>
      <c r="C26" s="1465"/>
      <c r="D26" s="517">
        <f t="shared" si="0"/>
        <v>0</v>
      </c>
      <c r="E26" s="1275"/>
      <c r="F26" s="517">
        <f t="shared" si="1"/>
        <v>0</v>
      </c>
      <c r="G26" s="527"/>
      <c r="H26" s="737"/>
    </row>
    <row r="27" spans="2:8" x14ac:dyDescent="0.25">
      <c r="B27" s="1273"/>
      <c r="C27" s="1465"/>
      <c r="D27" s="517">
        <f t="shared" si="0"/>
        <v>0</v>
      </c>
      <c r="E27" s="1275"/>
      <c r="F27" s="517">
        <f t="shared" si="1"/>
        <v>0</v>
      </c>
      <c r="G27" s="527"/>
      <c r="H27" s="737"/>
    </row>
    <row r="28" spans="2:8" x14ac:dyDescent="0.25">
      <c r="B28" s="1273"/>
      <c r="C28" s="1465"/>
      <c r="D28" s="517">
        <f t="shared" si="0"/>
        <v>0</v>
      </c>
      <c r="E28" s="980"/>
      <c r="F28" s="517">
        <f t="shared" si="1"/>
        <v>0</v>
      </c>
      <c r="G28" s="527"/>
      <c r="H28" s="737"/>
    </row>
    <row r="29" spans="2:8" x14ac:dyDescent="0.25">
      <c r="B29" s="898"/>
      <c r="C29" s="983"/>
      <c r="D29" s="517">
        <f t="shared" si="0"/>
        <v>0</v>
      </c>
      <c r="E29" s="980"/>
      <c r="F29" s="517">
        <f t="shared" si="1"/>
        <v>0</v>
      </c>
      <c r="G29" s="527"/>
      <c r="H29" s="737"/>
    </row>
    <row r="30" spans="2:8" x14ac:dyDescent="0.25">
      <c r="B30" s="898"/>
      <c r="C30" s="982"/>
      <c r="D30" s="517">
        <f t="shared" si="0"/>
        <v>0</v>
      </c>
      <c r="E30" s="979"/>
      <c r="F30" s="517">
        <f t="shared" si="1"/>
        <v>0</v>
      </c>
      <c r="G30" s="527"/>
      <c r="H30" s="737"/>
    </row>
    <row r="31" spans="2:8" x14ac:dyDescent="0.25">
      <c r="B31" s="898"/>
      <c r="C31" s="982"/>
      <c r="D31" s="517">
        <f t="shared" si="0"/>
        <v>0</v>
      </c>
      <c r="E31" s="979"/>
      <c r="F31" s="517">
        <f t="shared" si="1"/>
        <v>0</v>
      </c>
      <c r="G31" s="527"/>
      <c r="H31" s="737"/>
    </row>
    <row r="32" spans="2:8" x14ac:dyDescent="0.25">
      <c r="B32" s="898"/>
      <c r="C32" s="982"/>
      <c r="D32" s="517">
        <f t="shared" si="0"/>
        <v>0</v>
      </c>
      <c r="E32" s="979"/>
      <c r="F32" s="517">
        <f t="shared" si="1"/>
        <v>0</v>
      </c>
      <c r="G32" s="527"/>
      <c r="H32" s="737"/>
    </row>
    <row r="33" spans="2:8" x14ac:dyDescent="0.25">
      <c r="B33" s="898"/>
      <c r="C33" s="982"/>
      <c r="D33" s="517">
        <f t="shared" si="0"/>
        <v>0</v>
      </c>
      <c r="E33" s="979"/>
      <c r="F33" s="517">
        <f t="shared" si="1"/>
        <v>0</v>
      </c>
      <c r="G33" s="527"/>
      <c r="H33" s="737"/>
    </row>
    <row r="34" spans="2:8" x14ac:dyDescent="0.25">
      <c r="B34" s="898"/>
      <c r="C34" s="982"/>
      <c r="D34" s="517">
        <f t="shared" si="0"/>
        <v>0</v>
      </c>
      <c r="E34" s="979"/>
      <c r="F34" s="517">
        <f t="shared" si="1"/>
        <v>0</v>
      </c>
      <c r="G34" s="527"/>
      <c r="H34" s="737"/>
    </row>
    <row r="35" spans="2:8" ht="13" thickBot="1" x14ac:dyDescent="0.3">
      <c r="B35" s="899"/>
      <c r="C35" s="984"/>
      <c r="D35" s="517">
        <f t="shared" si="0"/>
        <v>0</v>
      </c>
      <c r="E35" s="981"/>
      <c r="F35" s="517">
        <f t="shared" si="1"/>
        <v>0</v>
      </c>
      <c r="G35" s="528"/>
      <c r="H35" s="738"/>
    </row>
    <row r="36" spans="2:8" ht="13" thickBot="1" x14ac:dyDescent="0.3">
      <c r="B36" s="515"/>
      <c r="C36" s="896">
        <f>SUM(C16:C35)</f>
        <v>70231090</v>
      </c>
      <c r="D36" s="469">
        <f>SUM(D16:D35)</f>
        <v>90943243.757500783</v>
      </c>
      <c r="E36" s="518"/>
      <c r="F36" s="469">
        <f>SUM(F16:F35)</f>
        <v>174611028.0144015</v>
      </c>
      <c r="G36" s="348"/>
      <c r="H36" s="521"/>
    </row>
    <row r="37" spans="2:8" ht="13" thickTop="1" x14ac:dyDescent="0.25">
      <c r="C37" s="897"/>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47" sqref="C47"/>
    </sheetView>
  </sheetViews>
  <sheetFormatPr defaultColWidth="9.1796875" defaultRowHeight="12.5" x14ac:dyDescent="0.25"/>
  <cols>
    <col min="1" max="1" width="9.1796875" style="210"/>
    <col min="2" max="2" width="50.7265625" style="210" customWidth="1"/>
    <col min="3" max="3" width="19.7265625" style="210" customWidth="1"/>
    <col min="4" max="4" width="17" style="210" customWidth="1"/>
    <col min="5" max="7" width="18.7265625" style="210" customWidth="1"/>
    <col min="8" max="8" width="16.453125" style="210" customWidth="1"/>
    <col min="9" max="9" width="38" style="210" customWidth="1"/>
    <col min="10" max="10" width="40.1796875" style="210" customWidth="1"/>
    <col min="11" max="11" width="27.1796875" style="210" customWidth="1"/>
    <col min="12" max="16384" width="9.1796875" style="210"/>
  </cols>
  <sheetData>
    <row r="1" spans="2:11" ht="13" thickBot="1" x14ac:dyDescent="0.3">
      <c r="B1" s="210" t="s">
        <v>321</v>
      </c>
    </row>
    <row r="2" spans="2:11" ht="19" thickTop="1" thickBot="1" x14ac:dyDescent="0.45">
      <c r="B2" s="758" t="s">
        <v>849</v>
      </c>
      <c r="C2" s="759"/>
      <c r="D2" s="759"/>
      <c r="E2" s="759"/>
      <c r="F2" s="759"/>
      <c r="G2" s="759"/>
      <c r="H2" s="759"/>
      <c r="I2" s="759"/>
      <c r="J2" s="759"/>
      <c r="K2" s="760"/>
    </row>
    <row r="3" spans="2:11" ht="24" customHeight="1" thickBot="1" x14ac:dyDescent="0.3">
      <c r="B3" s="761" t="s">
        <v>673</v>
      </c>
      <c r="C3" s="762">
        <f>Baseline_Design_Capacity</f>
        <v>379387</v>
      </c>
      <c r="D3" s="1578" t="s">
        <v>829</v>
      </c>
      <c r="E3" s="1578"/>
      <c r="F3" s="1578"/>
      <c r="G3" s="763"/>
      <c r="H3" s="763"/>
      <c r="I3" s="763"/>
      <c r="J3" s="763"/>
      <c r="K3" s="764"/>
    </row>
    <row r="4" spans="2:11" ht="29.25" customHeight="1" thickBot="1" x14ac:dyDescent="0.3">
      <c r="B4" s="761" t="s">
        <v>671</v>
      </c>
      <c r="C4" s="765">
        <f ca="1">design_cap/Baseline_Design_Capacity</f>
        <v>1</v>
      </c>
      <c r="D4" s="1579" t="s">
        <v>677</v>
      </c>
      <c r="E4" s="1579"/>
      <c r="F4" s="1579"/>
      <c r="G4" s="763"/>
      <c r="H4" s="763"/>
      <c r="I4" s="763"/>
      <c r="J4" s="763"/>
      <c r="K4" s="764"/>
    </row>
    <row r="5" spans="2:11" ht="29.25" customHeight="1" thickBot="1" x14ac:dyDescent="0.3">
      <c r="B5" s="761" t="s">
        <v>846</v>
      </c>
      <c r="C5" s="765">
        <f ca="1">$G$27/Det_direct_cap</f>
        <v>1</v>
      </c>
      <c r="D5" s="1579" t="s">
        <v>848</v>
      </c>
      <c r="E5" s="1579"/>
      <c r="F5" s="1579"/>
      <c r="G5" s="763"/>
      <c r="H5" s="763"/>
      <c r="I5" s="763"/>
      <c r="J5" s="763"/>
      <c r="K5" s="764"/>
    </row>
    <row r="6" spans="2:11" ht="29.25" customHeight="1" thickBot="1" x14ac:dyDescent="0.3">
      <c r="B6" s="761" t="s">
        <v>1064</v>
      </c>
      <c r="C6" s="767">
        <v>0.6</v>
      </c>
      <c r="D6" s="1579" t="s">
        <v>845</v>
      </c>
      <c r="E6" s="1579"/>
      <c r="F6" s="1579"/>
      <c r="G6" s="763"/>
      <c r="H6" s="763"/>
      <c r="I6" s="763"/>
      <c r="J6" s="763"/>
      <c r="K6" s="764"/>
    </row>
    <row r="7" spans="2:11" ht="41.25" customHeight="1" thickBot="1" x14ac:dyDescent="0.3">
      <c r="B7" s="761" t="s">
        <v>946</v>
      </c>
      <c r="C7" s="768">
        <v>235000</v>
      </c>
      <c r="D7" s="1580" t="s">
        <v>922</v>
      </c>
      <c r="E7" s="1581"/>
      <c r="F7" s="1581"/>
      <c r="G7" s="763"/>
      <c r="H7" s="763"/>
      <c r="I7" s="763"/>
      <c r="J7" s="763"/>
      <c r="K7" s="764"/>
    </row>
    <row r="8" spans="2:11" ht="42.75" customHeight="1" thickBot="1" x14ac:dyDescent="0.3">
      <c r="B8" s="761" t="s">
        <v>947</v>
      </c>
      <c r="C8" s="768">
        <v>425000</v>
      </c>
      <c r="D8" s="1576" t="s">
        <v>921</v>
      </c>
      <c r="E8" s="1577"/>
      <c r="F8" s="1577"/>
      <c r="G8" s="763"/>
      <c r="H8" s="763"/>
      <c r="I8" s="763"/>
      <c r="J8" s="763"/>
      <c r="K8" s="764"/>
    </row>
    <row r="9" spans="2:11" ht="15" customHeight="1" x14ac:dyDescent="0.25">
      <c r="B9" s="761"/>
      <c r="C9" s="769"/>
      <c r="D9" s="766"/>
      <c r="E9" s="766"/>
      <c r="F9" s="766"/>
      <c r="G9" s="763"/>
      <c r="H9" s="763"/>
      <c r="I9" s="763"/>
      <c r="J9" s="763"/>
      <c r="K9" s="764"/>
    </row>
    <row r="10" spans="2:11" x14ac:dyDescent="0.25">
      <c r="B10" s="770"/>
      <c r="C10" s="763"/>
      <c r="D10" s="763"/>
      <c r="E10" s="763"/>
      <c r="F10" s="763"/>
      <c r="G10" s="763"/>
      <c r="H10" s="763"/>
      <c r="I10" s="763"/>
      <c r="J10" s="763"/>
      <c r="K10" s="764"/>
    </row>
    <row r="11" spans="2:11" ht="16" thickBot="1" x14ac:dyDescent="0.4">
      <c r="B11" s="485" t="str">
        <f xml:space="preserve"> "CAPITAL INVESTMENT (Inputs REQUIRED in Reference Year, (" &amp; ref_year &amp; ") $)"</f>
        <v>CAPITAL INVESTMENT (Inputs REQUIRED in Reference Year, (2016) $)</v>
      </c>
      <c r="C11" s="486"/>
      <c r="D11" s="486"/>
      <c r="E11" s="486"/>
      <c r="F11" s="486"/>
      <c r="G11" s="487"/>
      <c r="H11" s="487"/>
      <c r="I11" s="487"/>
      <c r="J11" s="488"/>
      <c r="K11" s="771"/>
    </row>
    <row r="12" spans="2:11" ht="27.5" thickTop="1" thickBot="1" x14ac:dyDescent="0.4">
      <c r="B12" s="513" t="s">
        <v>667</v>
      </c>
      <c r="C12" s="514" t="s">
        <v>675</v>
      </c>
      <c r="D12" s="514" t="s">
        <v>669</v>
      </c>
      <c r="E12" s="514" t="s">
        <v>676</v>
      </c>
      <c r="F12" s="514" t="s">
        <v>668</v>
      </c>
      <c r="G12" s="514" t="s">
        <v>847</v>
      </c>
      <c r="H12" s="514" t="s">
        <v>1063</v>
      </c>
      <c r="I12" s="514" t="s">
        <v>1030</v>
      </c>
      <c r="J12" s="519" t="s">
        <v>670</v>
      </c>
    </row>
    <row r="13" spans="2:11" x14ac:dyDescent="0.25">
      <c r="B13" s="753" t="str">
        <f>'Capital Costs'!B16</f>
        <v>Process Plant Equipment</v>
      </c>
      <c r="C13" s="741">
        <f>'Capital Costs'!D16</f>
        <v>64706593.769150347</v>
      </c>
      <c r="D13" s="740"/>
      <c r="E13" s="741">
        <f ca="1">IF($D13="",$C13*Scale_Ratio^Scaling_Factor_Exponent,$C13*Scale_Ratio^$D13)</f>
        <v>64706593.769150347</v>
      </c>
      <c r="F13" s="755">
        <f>'Capital Costs'!E16</f>
        <v>1.92</v>
      </c>
      <c r="G13" s="742">
        <f ca="1">$E13*$F13</f>
        <v>124236660.03676866</v>
      </c>
      <c r="H13" s="741">
        <f>C13*F13</f>
        <v>124236660.03676866</v>
      </c>
      <c r="I13" s="743"/>
      <c r="J13" s="522"/>
    </row>
    <row r="14" spans="2:11" x14ac:dyDescent="0.25">
      <c r="B14" s="754" t="str">
        <f>'Capital Costs'!B17</f>
        <v>Balance of Plant and Offsites</v>
      </c>
      <c r="C14" s="745">
        <f>'Capital Costs'!D17</f>
        <v>25852512.36206688</v>
      </c>
      <c r="D14" s="744"/>
      <c r="E14" s="745">
        <f t="shared" ref="E14:E26" ca="1" si="0">IF($D14="",$C14*Scale_Ratio^Scaling_Factor_Exponent,$C14*Scale_Ratio^$D14)</f>
        <v>25852512.36206688</v>
      </c>
      <c r="F14" s="756">
        <f>'Capital Costs'!E17</f>
        <v>1.92</v>
      </c>
      <c r="G14" s="746">
        <f t="shared" ref="G14:G26" ca="1" si="1">$E14*$F14</f>
        <v>49636823.735168405</v>
      </c>
      <c r="H14" s="745">
        <f t="shared" ref="H14:H26" si="2">C14*F14</f>
        <v>49636823.735168405</v>
      </c>
      <c r="I14" s="747"/>
      <c r="J14" s="523"/>
    </row>
    <row r="15" spans="2:11" x14ac:dyDescent="0.25">
      <c r="B15" s="754" t="str">
        <f>'Capital Costs'!B18</f>
        <v>SCR NOx Control on Stack</v>
      </c>
      <c r="C15" s="745">
        <f>'Capital Costs'!D18</f>
        <v>384137.62628354999</v>
      </c>
      <c r="D15" s="744"/>
      <c r="E15" s="745">
        <f t="shared" ca="1" si="0"/>
        <v>384137.62628354999</v>
      </c>
      <c r="F15" s="756">
        <f>'Capital Costs'!E18</f>
        <v>1.92</v>
      </c>
      <c r="G15" s="746">
        <f t="shared" ca="1" si="1"/>
        <v>737544.24246441596</v>
      </c>
      <c r="H15" s="745">
        <f t="shared" si="2"/>
        <v>737544.24246441596</v>
      </c>
      <c r="I15" s="747"/>
      <c r="J15" s="523"/>
    </row>
    <row r="16" spans="2:11" x14ac:dyDescent="0.25">
      <c r="B16" s="754">
        <f>'Capital Costs'!B19</f>
        <v>0</v>
      </c>
      <c r="C16" s="745">
        <f>'Capital Costs'!D19</f>
        <v>0</v>
      </c>
      <c r="D16" s="744"/>
      <c r="E16" s="745">
        <f t="shared" ca="1" si="0"/>
        <v>0</v>
      </c>
      <c r="F16" s="756">
        <f>'Capital Costs'!E19</f>
        <v>0</v>
      </c>
      <c r="G16" s="746">
        <f t="shared" ca="1" si="1"/>
        <v>0</v>
      </c>
      <c r="H16" s="745">
        <f t="shared" si="2"/>
        <v>0</v>
      </c>
      <c r="I16" s="747"/>
      <c r="J16" s="523"/>
    </row>
    <row r="17" spans="2:10" x14ac:dyDescent="0.25">
      <c r="B17" s="754">
        <f>'Capital Costs'!B20</f>
        <v>0</v>
      </c>
      <c r="C17" s="745">
        <f>'Capital Costs'!D20</f>
        <v>0</v>
      </c>
      <c r="D17" s="744"/>
      <c r="E17" s="745">
        <f t="shared" ca="1" si="0"/>
        <v>0</v>
      </c>
      <c r="F17" s="756">
        <f>'Capital Costs'!E20</f>
        <v>0</v>
      </c>
      <c r="G17" s="746">
        <f t="shared" ca="1" si="1"/>
        <v>0</v>
      </c>
      <c r="H17" s="745">
        <f t="shared" si="2"/>
        <v>0</v>
      </c>
      <c r="I17" s="747"/>
      <c r="J17" s="523"/>
    </row>
    <row r="18" spans="2:10" x14ac:dyDescent="0.25">
      <c r="B18" s="754">
        <f>'Capital Costs'!B21</f>
        <v>0</v>
      </c>
      <c r="C18" s="745">
        <f>'Capital Costs'!D21</f>
        <v>0</v>
      </c>
      <c r="D18" s="744"/>
      <c r="E18" s="745">
        <f t="shared" ca="1" si="0"/>
        <v>0</v>
      </c>
      <c r="F18" s="756">
        <f>'Capital Costs'!E21</f>
        <v>0</v>
      </c>
      <c r="G18" s="746">
        <f t="shared" ca="1" si="1"/>
        <v>0</v>
      </c>
      <c r="H18" s="745">
        <f t="shared" si="2"/>
        <v>0</v>
      </c>
      <c r="I18" s="747"/>
      <c r="J18" s="523"/>
    </row>
    <row r="19" spans="2:10" x14ac:dyDescent="0.25">
      <c r="B19" s="754">
        <f>'Capital Costs'!B22</f>
        <v>0</v>
      </c>
      <c r="C19" s="745">
        <f>'Capital Costs'!D22</f>
        <v>0</v>
      </c>
      <c r="D19" s="744"/>
      <c r="E19" s="745">
        <f t="shared" ca="1" si="0"/>
        <v>0</v>
      </c>
      <c r="F19" s="756">
        <f>'Capital Costs'!E22</f>
        <v>0</v>
      </c>
      <c r="G19" s="746">
        <f t="shared" ca="1" si="1"/>
        <v>0</v>
      </c>
      <c r="H19" s="745">
        <f t="shared" si="2"/>
        <v>0</v>
      </c>
      <c r="I19" s="747"/>
      <c r="J19" s="523"/>
    </row>
    <row r="20" spans="2:10" x14ac:dyDescent="0.25">
      <c r="B20" s="754">
        <f>'Capital Costs'!B23</f>
        <v>0</v>
      </c>
      <c r="C20" s="745">
        <f>'Capital Costs'!D23</f>
        <v>0</v>
      </c>
      <c r="D20" s="744"/>
      <c r="E20" s="745">
        <f t="shared" ca="1" si="0"/>
        <v>0</v>
      </c>
      <c r="F20" s="756">
        <f>'Capital Costs'!E23</f>
        <v>0</v>
      </c>
      <c r="G20" s="746">
        <f t="shared" ca="1" si="1"/>
        <v>0</v>
      </c>
      <c r="H20" s="745">
        <f t="shared" si="2"/>
        <v>0</v>
      </c>
      <c r="I20" s="747"/>
      <c r="J20" s="523"/>
    </row>
    <row r="21" spans="2:10" x14ac:dyDescent="0.25">
      <c r="B21" s="754">
        <f>'Capital Costs'!B24</f>
        <v>0</v>
      </c>
      <c r="C21" s="745">
        <f>'Capital Costs'!D24</f>
        <v>0</v>
      </c>
      <c r="D21" s="744"/>
      <c r="E21" s="745">
        <f t="shared" ca="1" si="0"/>
        <v>0</v>
      </c>
      <c r="F21" s="756">
        <f>'Capital Costs'!E24</f>
        <v>0</v>
      </c>
      <c r="G21" s="746">
        <f t="shared" ca="1" si="1"/>
        <v>0</v>
      </c>
      <c r="H21" s="745">
        <f t="shared" si="2"/>
        <v>0</v>
      </c>
      <c r="I21" s="747"/>
      <c r="J21" s="523"/>
    </row>
    <row r="22" spans="2:10" x14ac:dyDescent="0.25">
      <c r="B22" s="754">
        <f>'Capital Costs'!B25</f>
        <v>0</v>
      </c>
      <c r="C22" s="745">
        <f>'Capital Costs'!D25</f>
        <v>0</v>
      </c>
      <c r="D22" s="744"/>
      <c r="E22" s="745">
        <f t="shared" ca="1" si="0"/>
        <v>0</v>
      </c>
      <c r="F22" s="756">
        <f>'Capital Costs'!E25</f>
        <v>0</v>
      </c>
      <c r="G22" s="746">
        <f t="shared" ca="1" si="1"/>
        <v>0</v>
      </c>
      <c r="H22" s="745">
        <f t="shared" si="2"/>
        <v>0</v>
      </c>
      <c r="I22" s="747"/>
      <c r="J22" s="523"/>
    </row>
    <row r="23" spans="2:10" x14ac:dyDescent="0.25">
      <c r="B23" s="754">
        <f>'Capital Costs'!B26</f>
        <v>0</v>
      </c>
      <c r="C23" s="745">
        <f>'Capital Costs'!D26</f>
        <v>0</v>
      </c>
      <c r="D23" s="744"/>
      <c r="E23" s="745">
        <f t="shared" ca="1" si="0"/>
        <v>0</v>
      </c>
      <c r="F23" s="756">
        <f>'Capital Costs'!E26</f>
        <v>0</v>
      </c>
      <c r="G23" s="746">
        <f t="shared" ca="1" si="1"/>
        <v>0</v>
      </c>
      <c r="H23" s="745">
        <f t="shared" si="2"/>
        <v>0</v>
      </c>
      <c r="I23" s="747"/>
      <c r="J23" s="523"/>
    </row>
    <row r="24" spans="2:10" ht="13" x14ac:dyDescent="0.3">
      <c r="B24" s="754">
        <f>'Capital Costs'!B27</f>
        <v>0</v>
      </c>
      <c r="C24" s="745">
        <f>'Capital Costs'!D27</f>
        <v>0</v>
      </c>
      <c r="D24" s="748"/>
      <c r="E24" s="745">
        <f t="shared" ca="1" si="0"/>
        <v>0</v>
      </c>
      <c r="F24" s="756">
        <f>'Capital Costs'!E27</f>
        <v>0</v>
      </c>
      <c r="G24" s="746">
        <f t="shared" ca="1" si="1"/>
        <v>0</v>
      </c>
      <c r="H24" s="745">
        <f t="shared" si="2"/>
        <v>0</v>
      </c>
      <c r="I24" s="747"/>
      <c r="J24" s="523"/>
    </row>
    <row r="25" spans="2:10" ht="13" x14ac:dyDescent="0.3">
      <c r="B25" s="754">
        <f>'Capital Costs'!B28</f>
        <v>0</v>
      </c>
      <c r="C25" s="745">
        <f>'Capital Costs'!D28</f>
        <v>0</v>
      </c>
      <c r="D25" s="748"/>
      <c r="E25" s="745">
        <f t="shared" ca="1" si="0"/>
        <v>0</v>
      </c>
      <c r="F25" s="756">
        <f>'Capital Costs'!E28</f>
        <v>0</v>
      </c>
      <c r="G25" s="746">
        <f t="shared" ca="1" si="1"/>
        <v>0</v>
      </c>
      <c r="H25" s="745">
        <f t="shared" si="2"/>
        <v>0</v>
      </c>
      <c r="I25" s="747"/>
      <c r="J25" s="523"/>
    </row>
    <row r="26" spans="2:10" ht="13.5" thickBot="1" x14ac:dyDescent="0.35">
      <c r="B26" s="754">
        <f>'Capital Costs'!B29</f>
        <v>0</v>
      </c>
      <c r="C26" s="745">
        <f>'Capital Costs'!D29</f>
        <v>0</v>
      </c>
      <c r="D26" s="749"/>
      <c r="E26" s="750">
        <f t="shared" ca="1" si="0"/>
        <v>0</v>
      </c>
      <c r="F26" s="756">
        <f>'Capital Costs'!E29</f>
        <v>0</v>
      </c>
      <c r="G26" s="751">
        <f t="shared" ca="1" si="1"/>
        <v>0</v>
      </c>
      <c r="H26" s="750">
        <f t="shared" si="2"/>
        <v>0</v>
      </c>
      <c r="I26" s="752"/>
      <c r="J26" s="524"/>
    </row>
    <row r="27" spans="2:10" ht="13.5" thickBot="1" x14ac:dyDescent="0.35">
      <c r="B27" s="515" t="s">
        <v>672</v>
      </c>
      <c r="C27" s="516">
        <f>SUM(C13:C26)</f>
        <v>90943243.757500783</v>
      </c>
      <c r="D27" s="520"/>
      <c r="E27" s="516">
        <f ca="1">SUM(E13:E26)</f>
        <v>90943243.757500783</v>
      </c>
      <c r="F27" s="518"/>
      <c r="G27" s="739">
        <f ca="1">SUM(G13:G26)</f>
        <v>174611028.0144015</v>
      </c>
      <c r="H27" s="757">
        <f>SUM(H13:H26)</f>
        <v>174611028.0144015</v>
      </c>
      <c r="I27" s="348"/>
      <c r="J27" s="521"/>
    </row>
    <row r="28" spans="2:10" ht="13" thickTop="1" x14ac:dyDescent="0.25"/>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A22" workbookViewId="0">
      <selection activeCell="J28" sqref="J28"/>
    </sheetView>
  </sheetViews>
  <sheetFormatPr defaultColWidth="9.1796875" defaultRowHeight="12.5" x14ac:dyDescent="0.25"/>
  <cols>
    <col min="1" max="1" width="7.54296875" style="29" customWidth="1"/>
    <col min="2" max="2" width="72.26953125" style="29" customWidth="1"/>
    <col min="3" max="3" width="15.81640625" style="29" customWidth="1"/>
    <col min="4" max="4" width="19.453125" style="29" customWidth="1"/>
    <col min="5" max="5" width="12.1796875" style="29" customWidth="1"/>
    <col min="6" max="6" width="15.81640625" style="29" customWidth="1"/>
    <col min="7" max="7" width="14.7265625" style="29" customWidth="1"/>
    <col min="8" max="8" width="17" style="29" customWidth="1"/>
    <col min="9" max="9" width="17.26953125" style="29" customWidth="1"/>
    <col min="10" max="10" width="23.453125" style="29" customWidth="1"/>
    <col min="11" max="11" width="16.1796875" style="29" customWidth="1"/>
    <col min="12" max="12" width="11.54296875" style="29" bestFit="1" customWidth="1"/>
    <col min="13" max="13" width="12.7265625" style="29" bestFit="1" customWidth="1"/>
    <col min="14" max="14" width="11.54296875" style="29" bestFit="1" customWidth="1"/>
    <col min="15" max="16384" width="9.1796875" style="29"/>
  </cols>
  <sheetData>
    <row r="1" spans="1:10" x14ac:dyDescent="0.25">
      <c r="A1" s="1294" t="s">
        <v>1288</v>
      </c>
    </row>
    <row r="2" spans="1:10" ht="22" x14ac:dyDescent="0.25">
      <c r="B2" s="819" t="s">
        <v>400</v>
      </c>
    </row>
    <row r="4" spans="1:10" ht="14" x14ac:dyDescent="0.25">
      <c r="B4" s="1600" t="s">
        <v>390</v>
      </c>
      <c r="C4" s="1600"/>
      <c r="D4" s="1600"/>
      <c r="E4" s="1600"/>
      <c r="F4" s="1600"/>
      <c r="G4" s="1600"/>
      <c r="H4" s="1600"/>
      <c r="I4" s="1600"/>
      <c r="J4" s="1600"/>
    </row>
    <row r="5" spans="1:10" ht="67.5" customHeight="1" x14ac:dyDescent="0.25">
      <c r="B5" s="1601" t="s">
        <v>410</v>
      </c>
      <c r="C5" s="1602"/>
      <c r="D5" s="1602"/>
      <c r="E5" s="1602"/>
      <c r="F5" s="1602"/>
      <c r="G5" s="1602"/>
      <c r="H5" s="1602"/>
      <c r="I5" s="1602"/>
      <c r="J5" s="1602"/>
    </row>
    <row r="6" spans="1:10" x14ac:dyDescent="0.25">
      <c r="B6" s="773"/>
      <c r="C6" s="773"/>
      <c r="D6" s="773"/>
      <c r="E6" s="773"/>
      <c r="F6" s="773"/>
      <c r="G6" s="773"/>
      <c r="H6" s="773"/>
      <c r="I6" s="773"/>
      <c r="J6" s="773"/>
    </row>
    <row r="7" spans="1:10" ht="22" x14ac:dyDescent="0.25">
      <c r="B7" s="820" t="s">
        <v>1067</v>
      </c>
      <c r="C7" s="773"/>
      <c r="D7" s="773"/>
      <c r="E7" s="773"/>
      <c r="F7" s="773"/>
      <c r="G7" s="773"/>
      <c r="H7" s="773"/>
      <c r="I7" s="773"/>
      <c r="J7" s="773"/>
    </row>
    <row r="8" spans="1:10" ht="15.5" x14ac:dyDescent="0.25">
      <c r="B8" s="821" t="s">
        <v>233</v>
      </c>
      <c r="C8" s="773"/>
      <c r="D8" s="773"/>
      <c r="E8" s="773"/>
      <c r="F8" s="773"/>
      <c r="G8" s="773"/>
      <c r="H8" s="773"/>
      <c r="I8" s="773"/>
      <c r="J8" s="773"/>
    </row>
    <row r="9" spans="1:10" x14ac:dyDescent="0.25">
      <c r="B9" s="773"/>
      <c r="C9" s="773"/>
      <c r="D9" s="773"/>
      <c r="E9" s="773"/>
      <c r="F9" s="773"/>
      <c r="G9" s="773"/>
      <c r="H9" s="773"/>
      <c r="I9" s="773"/>
      <c r="J9" s="773"/>
    </row>
    <row r="10" spans="1:10" x14ac:dyDescent="0.25">
      <c r="B10" s="773"/>
      <c r="C10" s="773"/>
      <c r="D10" s="773"/>
      <c r="E10" s="773"/>
      <c r="F10" s="773"/>
      <c r="G10" s="773"/>
      <c r="H10" s="773"/>
      <c r="I10" s="773"/>
      <c r="J10" s="773"/>
    </row>
    <row r="11" spans="1:10" ht="15.5" x14ac:dyDescent="0.25">
      <c r="B11" s="821" t="s">
        <v>234</v>
      </c>
      <c r="C11" s="773"/>
      <c r="D11" s="773"/>
      <c r="E11" s="773"/>
      <c r="F11" s="773"/>
      <c r="G11" s="773"/>
      <c r="H11" s="773"/>
      <c r="I11" s="773"/>
      <c r="J11" s="773"/>
    </row>
    <row r="12" spans="1:10" x14ac:dyDescent="0.25">
      <c r="B12" s="773"/>
      <c r="C12" s="773"/>
      <c r="D12" s="773"/>
      <c r="E12" s="773"/>
      <c r="F12" s="773"/>
      <c r="G12" s="773"/>
      <c r="H12" s="773"/>
      <c r="I12" s="773"/>
      <c r="J12" s="773"/>
    </row>
    <row r="13" spans="1:10" x14ac:dyDescent="0.25">
      <c r="B13" s="773"/>
      <c r="C13" s="773"/>
      <c r="D13" s="773"/>
      <c r="E13" s="773"/>
      <c r="F13" s="773"/>
      <c r="G13" s="773"/>
      <c r="H13" s="773"/>
      <c r="I13" s="773"/>
      <c r="J13" s="773"/>
    </row>
    <row r="14" spans="1:10" x14ac:dyDescent="0.25">
      <c r="B14" s="773"/>
      <c r="C14" s="773"/>
      <c r="D14" s="773"/>
      <c r="E14" s="773"/>
      <c r="F14" s="773"/>
      <c r="G14" s="773"/>
      <c r="H14" s="773"/>
      <c r="I14" s="773"/>
      <c r="J14" s="773"/>
    </row>
    <row r="15" spans="1:10" ht="14" x14ac:dyDescent="0.25">
      <c r="B15" s="823" t="s">
        <v>412</v>
      </c>
      <c r="C15" s="773"/>
      <c r="D15" s="773"/>
      <c r="E15" s="773"/>
      <c r="F15" s="773"/>
      <c r="G15" s="773"/>
      <c r="H15" s="773"/>
      <c r="I15" s="773"/>
      <c r="J15" s="773"/>
    </row>
    <row r="16" spans="1:10" ht="14" x14ac:dyDescent="0.25">
      <c r="B16" s="823" t="s">
        <v>425</v>
      </c>
      <c r="C16" s="773"/>
      <c r="D16" s="773"/>
      <c r="E16" s="773"/>
      <c r="F16" s="773"/>
      <c r="G16" s="773"/>
      <c r="H16" s="773"/>
      <c r="I16" s="773"/>
      <c r="J16" s="773"/>
    </row>
    <row r="17" spans="2:14" ht="14" x14ac:dyDescent="0.25">
      <c r="B17" s="823" t="s">
        <v>433</v>
      </c>
      <c r="C17" s="773"/>
      <c r="D17" s="773"/>
      <c r="E17" s="773"/>
      <c r="F17" s="773"/>
      <c r="G17" s="773"/>
      <c r="H17" s="773"/>
      <c r="I17" s="773"/>
      <c r="J17" s="773"/>
    </row>
    <row r="18" spans="2:14" ht="15.5" x14ac:dyDescent="0.25">
      <c r="B18" s="822"/>
    </row>
    <row r="19" spans="2:14" ht="13" thickBot="1" x14ac:dyDescent="0.3"/>
    <row r="20" spans="2:14" ht="44.25" customHeight="1" thickTop="1" x14ac:dyDescent="0.25">
      <c r="B20" s="1346" t="s">
        <v>411</v>
      </c>
      <c r="C20" s="1347"/>
      <c r="D20" s="1348"/>
      <c r="E20" s="1348"/>
      <c r="F20" s="1349"/>
      <c r="H20" s="1607" t="s">
        <v>819</v>
      </c>
      <c r="I20" s="1608"/>
      <c r="J20" s="1608"/>
      <c r="K20" s="1609"/>
    </row>
    <row r="21" spans="2:14" ht="39" customHeight="1" x14ac:dyDescent="0.25">
      <c r="B21" s="555" t="s">
        <v>955</v>
      </c>
      <c r="C21" s="560">
        <f ca="1">Feed_CO2_MTpY</f>
        <v>1157000</v>
      </c>
      <c r="D21" s="1610" t="s">
        <v>413</v>
      </c>
      <c r="E21" s="1610"/>
      <c r="F21" s="1611"/>
      <c r="H21" s="1590" t="s">
        <v>83</v>
      </c>
      <c r="I21" s="1591"/>
      <c r="J21" s="1350"/>
      <c r="K21" s="1351"/>
    </row>
    <row r="22" spans="2:14" ht="14.25" customHeight="1" x14ac:dyDescent="0.25">
      <c r="B22" s="555" t="s">
        <v>954</v>
      </c>
      <c r="C22" s="561">
        <f ca="1">Feed_CO2_kgpkgH2</f>
        <v>9.2832316039335385</v>
      </c>
      <c r="D22" s="557"/>
      <c r="E22" s="557"/>
      <c r="F22" s="558"/>
      <c r="H22" s="1592" t="s">
        <v>428</v>
      </c>
      <c r="I22" s="1593"/>
      <c r="J22" s="1371" t="e">
        <f ca="1">SUM(C54:C57)</f>
        <v>#VALUE!</v>
      </c>
      <c r="K22" s="1351"/>
    </row>
    <row r="23" spans="2:14" ht="14.25" customHeight="1" x14ac:dyDescent="0.25">
      <c r="B23" s="555" t="s">
        <v>429</v>
      </c>
      <c r="C23" s="1311">
        <f ca="1">Feed_CO2_MTpY/365*CO2_Capture_Efficiency</f>
        <v>0</v>
      </c>
      <c r="D23" s="557"/>
      <c r="E23" s="557"/>
      <c r="F23" s="558"/>
      <c r="H23" s="1592" t="s">
        <v>1233</v>
      </c>
      <c r="I23" s="1593"/>
      <c r="J23" s="1371">
        <f ca="1">C71</f>
        <v>80988.893635198634</v>
      </c>
      <c r="K23" s="1351"/>
      <c r="N23" s="1294"/>
    </row>
    <row r="24" spans="2:14" ht="14.25" customHeight="1" x14ac:dyDescent="0.25">
      <c r="B24" s="555" t="s">
        <v>1286</v>
      </c>
      <c r="C24" s="1305">
        <f ca="1">CO2_flowrate*365/1000000</f>
        <v>0</v>
      </c>
      <c r="D24" s="1307"/>
      <c r="E24" s="1307"/>
      <c r="F24" s="1297"/>
      <c r="H24" s="1592" t="s">
        <v>1236</v>
      </c>
      <c r="I24" s="1593"/>
      <c r="J24" s="1371">
        <f ca="1">SUM(C82:C83)</f>
        <v>0</v>
      </c>
      <c r="K24" s="1351"/>
      <c r="N24" s="1294"/>
    </row>
    <row r="25" spans="2:14" ht="14" x14ac:dyDescent="0.25">
      <c r="B25" s="593" t="s">
        <v>431</v>
      </c>
      <c r="C25" s="594">
        <f ca="1">HLOOKUP(startup_year,INDIRECT(TMP_PriceTable),MATCH("Industrial Electricity",INDIRECT(Energy_Feed_List),0),FALSE)*VLOOKUP("kWh",CC_feedconversion,2,FALSE)</f>
        <v>6.9980611257164108E-2</v>
      </c>
      <c r="D25" s="1612" t="s">
        <v>432</v>
      </c>
      <c r="E25" s="1612"/>
      <c r="F25" s="1613"/>
      <c r="H25" s="1616" t="s">
        <v>1238</v>
      </c>
      <c r="I25" s="1617"/>
      <c r="J25" s="1371">
        <f ca="1">SUM(C93:C95)</f>
        <v>39831626.153846137</v>
      </c>
      <c r="K25" s="1353"/>
      <c r="M25" s="1300"/>
    </row>
    <row r="26" spans="2:14" ht="14.5" thickBot="1" x14ac:dyDescent="0.3">
      <c r="B26" s="559" t="s">
        <v>999</v>
      </c>
      <c r="C26" s="562">
        <f ca="1">IF(C21=0,0,(pump_power)*cap_factor*24*365/output_kgyear)</f>
        <v>0</v>
      </c>
      <c r="D26" s="1603"/>
      <c r="E26" s="1603"/>
      <c r="F26" s="1604"/>
      <c r="H26" s="1614"/>
      <c r="I26" s="1615"/>
      <c r="J26" s="1374">
        <f>IF(CO2_Capture_Efficiency,SUM(J22:J25),0)</f>
        <v>0</v>
      </c>
      <c r="K26" s="1353" t="str">
        <f>"Total ("&amp;ref_year&amp;"$)"</f>
        <v>Total (2016$)</v>
      </c>
    </row>
    <row r="27" spans="2:14" ht="18.75" customHeight="1" thickTop="1" thickBot="1" x14ac:dyDescent="0.3">
      <c r="H27" s="1592" t="s">
        <v>1096</v>
      </c>
      <c r="I27" s="1593"/>
      <c r="J27" s="1371">
        <f ca="1">IFERROR(IF(CO2_inUse = "To Use Carbon Sequestration Click 'Link to Detail Sheet' in the Input Sheet Capital Cost Section",0,(J23+J24)/1.2+J25/1.5+J22),0)</f>
        <v>0</v>
      </c>
      <c r="K27" s="1351"/>
    </row>
    <row r="28" spans="2:14" ht="31.5" customHeight="1" thickTop="1" thickBot="1" x14ac:dyDescent="0.3">
      <c r="B28" s="1342" t="s">
        <v>412</v>
      </c>
      <c r="C28" s="1343"/>
      <c r="D28" s="1344"/>
      <c r="E28" s="1344"/>
      <c r="F28" s="1345"/>
      <c r="H28" s="1605"/>
      <c r="I28" s="1606"/>
      <c r="J28" s="1352"/>
      <c r="K28" s="1351"/>
    </row>
    <row r="29" spans="2:14" ht="14" x14ac:dyDescent="0.25">
      <c r="B29" s="1325" t="s">
        <v>1245</v>
      </c>
      <c r="C29" s="1323"/>
      <c r="D29" s="1324"/>
      <c r="E29" s="1324"/>
      <c r="F29" s="1326"/>
      <c r="H29" s="1354"/>
      <c r="I29" s="1355"/>
      <c r="J29" s="1352"/>
      <c r="K29" s="1351"/>
    </row>
    <row r="30" spans="2:14" ht="14" x14ac:dyDescent="0.25">
      <c r="B30" s="1327" t="s">
        <v>998</v>
      </c>
      <c r="C30" s="1378">
        <v>0</v>
      </c>
      <c r="D30" s="1312"/>
      <c r="E30" s="1582" t="s">
        <v>1287</v>
      </c>
      <c r="F30" s="1618"/>
      <c r="H30" s="1590" t="s">
        <v>817</v>
      </c>
      <c r="I30" s="1591"/>
      <c r="J30" s="1352"/>
      <c r="K30" s="1351"/>
    </row>
    <row r="31" spans="2:14" ht="27.65" customHeight="1" x14ac:dyDescent="0.25">
      <c r="B31" s="1327" t="s">
        <v>549</v>
      </c>
      <c r="C31" s="1340">
        <v>14.7</v>
      </c>
      <c r="D31" s="1312"/>
      <c r="E31" s="1624" t="s">
        <v>1242</v>
      </c>
      <c r="F31" s="1625"/>
      <c r="H31" s="1592" t="s">
        <v>426</v>
      </c>
      <c r="I31" s="1593"/>
      <c r="J31" s="1371">
        <f ca="1">C74</f>
        <v>0</v>
      </c>
      <c r="K31" s="1351"/>
    </row>
    <row r="32" spans="2:14" ht="28" x14ac:dyDescent="0.25">
      <c r="B32" s="1327" t="s">
        <v>1217</v>
      </c>
      <c r="C32" s="1313">
        <v>1</v>
      </c>
      <c r="D32" s="1312"/>
      <c r="E32" s="1582"/>
      <c r="F32" s="1583"/>
      <c r="H32" s="1372" t="s">
        <v>427</v>
      </c>
      <c r="I32" s="1373"/>
      <c r="J32" s="1371">
        <v>0</v>
      </c>
      <c r="K32" s="1351"/>
    </row>
    <row r="33" spans="2:11" ht="14" x14ac:dyDescent="0.25">
      <c r="B33" s="1327" t="s">
        <v>1216</v>
      </c>
      <c r="C33" s="1314">
        <v>0.75</v>
      </c>
      <c r="D33" s="1312"/>
      <c r="E33" s="1582"/>
      <c r="F33" s="1583"/>
      <c r="H33" s="1592" t="s">
        <v>428</v>
      </c>
      <c r="I33" s="1593"/>
      <c r="J33" s="1371">
        <v>0</v>
      </c>
      <c r="K33" s="1351"/>
    </row>
    <row r="34" spans="2:11" ht="14" x14ac:dyDescent="0.25">
      <c r="B34" s="1327" t="s">
        <v>1208</v>
      </c>
      <c r="C34" s="1315" t="s">
        <v>23</v>
      </c>
      <c r="D34" s="1312"/>
      <c r="E34" s="1582"/>
      <c r="F34" s="1583"/>
      <c r="H34" s="1605"/>
      <c r="I34" s="1606"/>
      <c r="J34" s="1374">
        <f ca="1">SUM(J31:J33)</f>
        <v>0</v>
      </c>
      <c r="K34" s="1353" t="str">
        <f>"Total ("&amp;ref_year&amp;"$)"</f>
        <v>Total (2016$)</v>
      </c>
    </row>
    <row r="35" spans="2:11" ht="14" x14ac:dyDescent="0.25">
      <c r="B35" s="1327" t="s">
        <v>1210</v>
      </c>
      <c r="C35" s="1315" t="s">
        <v>23</v>
      </c>
      <c r="D35" s="1312"/>
      <c r="E35" s="1582"/>
      <c r="F35" s="1583"/>
      <c r="H35" s="1590" t="s">
        <v>818</v>
      </c>
      <c r="I35" s="1591"/>
      <c r="J35" s="1352"/>
      <c r="K35" s="1351"/>
    </row>
    <row r="36" spans="2:11" ht="14" x14ac:dyDescent="0.25">
      <c r="B36" s="1327" t="s">
        <v>1243</v>
      </c>
      <c r="C36" s="1313">
        <v>100</v>
      </c>
      <c r="D36" s="1312"/>
      <c r="E36" s="1582"/>
      <c r="F36" s="1583"/>
      <c r="H36" s="1592" t="s">
        <v>963</v>
      </c>
      <c r="I36" s="1593"/>
      <c r="J36" s="1371">
        <f ca="1">-Feed_CO2_MTpY*CO2_Capture_Efficiency*CO2_credit</f>
        <v>0</v>
      </c>
      <c r="K36" s="1351"/>
    </row>
    <row r="37" spans="2:11" ht="14" x14ac:dyDescent="0.25">
      <c r="B37" s="1327" t="s">
        <v>1244</v>
      </c>
      <c r="C37" s="1313">
        <v>0</v>
      </c>
      <c r="D37" s="1312"/>
      <c r="E37" s="1582"/>
      <c r="F37" s="1583"/>
      <c r="H37" s="1592" t="s">
        <v>428</v>
      </c>
      <c r="I37" s="1593"/>
      <c r="J37" s="1371">
        <f>+C61</f>
        <v>693420.37890424987</v>
      </c>
      <c r="K37" s="1351"/>
    </row>
    <row r="38" spans="2:11" ht="14.5" thickBot="1" x14ac:dyDescent="0.3">
      <c r="B38" s="1328" t="s">
        <v>1251</v>
      </c>
      <c r="C38" s="1319" t="e">
        <f ca="1">Pipe_Diameter(CO2_PipeLength,
        C67, C66,
        C37,
        0.5,
        CO2_flowrate,
        CO2_Pipeline_Temp,
        n_CO2_pumps)</f>
        <v>#VALUE!</v>
      </c>
      <c r="D38" s="1320"/>
      <c r="E38" s="1622"/>
      <c r="F38" s="1623"/>
      <c r="H38" s="1592" t="s">
        <v>1233</v>
      </c>
      <c r="I38" s="1593"/>
      <c r="J38" s="1371">
        <f ca="1">C78</f>
        <v>3239.5557454079453</v>
      </c>
      <c r="K38" s="1351"/>
    </row>
    <row r="39" spans="2:11" ht="14" x14ac:dyDescent="0.25">
      <c r="B39" s="1619" t="s">
        <v>1246</v>
      </c>
      <c r="C39" s="1620"/>
      <c r="D39" s="1620"/>
      <c r="E39" s="1620"/>
      <c r="F39" s="1621"/>
      <c r="H39" s="1592" t="s">
        <v>1236</v>
      </c>
      <c r="I39" s="1593"/>
      <c r="J39" s="1371">
        <f ca="1">C86</f>
        <v>0</v>
      </c>
      <c r="K39" s="1351"/>
    </row>
    <row r="40" spans="2:11" ht="14" x14ac:dyDescent="0.25">
      <c r="B40" s="1327" t="s">
        <v>1222</v>
      </c>
      <c r="C40" s="1313">
        <v>53</v>
      </c>
      <c r="D40" s="1312"/>
      <c r="E40" s="1582" t="s">
        <v>1250</v>
      </c>
      <c r="F40" s="1583"/>
      <c r="H40" s="1616" t="s">
        <v>1237</v>
      </c>
      <c r="I40" s="1617"/>
      <c r="J40" s="1375">
        <f ca="1">SUM(C103:C107)</f>
        <v>2016053.2255769228</v>
      </c>
      <c r="K40" s="1351"/>
    </row>
    <row r="41" spans="2:11" ht="35.5" customHeight="1" thickBot="1" x14ac:dyDescent="0.3">
      <c r="B41" s="1328" t="s">
        <v>1223</v>
      </c>
      <c r="C41" s="1321">
        <f>denPRCO2(0.00005,AVERAGE(C66:C67)/MPa_to_psi,CO2_Pipeline_Temp)</f>
        <v>865.79471045444359</v>
      </c>
      <c r="D41" s="1320"/>
      <c r="E41" s="1596" t="s">
        <v>1224</v>
      </c>
      <c r="F41" s="1597"/>
      <c r="H41" s="1590"/>
      <c r="I41" s="1591"/>
      <c r="J41" s="1374">
        <f>IF(CO2_Capture_Efficiency&gt;0,SUM(J36:J40),0)</f>
        <v>0</v>
      </c>
      <c r="K41" s="1353" t="str">
        <f>"Total  ("&amp;ref_year&amp;"$)"</f>
        <v>Total  (2016$)</v>
      </c>
    </row>
    <row r="42" spans="2:11" ht="14" x14ac:dyDescent="0.25">
      <c r="B42" s="1619" t="s">
        <v>1247</v>
      </c>
      <c r="C42" s="1620"/>
      <c r="D42" s="1620"/>
      <c r="E42" s="1620"/>
      <c r="F42" s="1621"/>
      <c r="H42" s="1354"/>
      <c r="I42" s="1355"/>
      <c r="J42" s="1352"/>
      <c r="K42" s="1351"/>
    </row>
    <row r="43" spans="2:11" ht="14.5" customHeight="1" x14ac:dyDescent="0.25">
      <c r="B43" s="1327" t="s">
        <v>961</v>
      </c>
      <c r="C43" s="1316">
        <v>0</v>
      </c>
      <c r="D43" s="1312"/>
      <c r="E43" s="1318"/>
      <c r="F43" s="1329"/>
      <c r="H43" s="1592" t="s">
        <v>826</v>
      </c>
      <c r="I43" s="1593"/>
      <c r="J43" s="1374">
        <f>Det_CO2_seq*tax_ins_rate</f>
        <v>0</v>
      </c>
      <c r="K43" s="1353" t="str">
        <f>+K41</f>
        <v>Total  (2016$)</v>
      </c>
    </row>
    <row r="44" spans="2:11" ht="15" customHeight="1" thickBot="1" x14ac:dyDescent="0.3">
      <c r="B44" s="1328" t="s">
        <v>1211</v>
      </c>
      <c r="C44" s="1322">
        <v>0.04</v>
      </c>
      <c r="D44" s="1320"/>
      <c r="E44" s="1598"/>
      <c r="F44" s="1599"/>
      <c r="H44" s="1356"/>
      <c r="I44" s="1357"/>
      <c r="J44" s="1358"/>
      <c r="K44" s="1359"/>
    </row>
    <row r="45" spans="2:11" ht="15" customHeight="1" x14ac:dyDescent="0.25">
      <c r="B45" s="1619" t="s">
        <v>1248</v>
      </c>
      <c r="C45" s="1620"/>
      <c r="D45" s="1620"/>
      <c r="E45" s="1620"/>
      <c r="F45" s="1621"/>
      <c r="H45" s="1586" t="s">
        <v>1239</v>
      </c>
      <c r="I45" s="1587"/>
      <c r="J45" s="1587"/>
      <c r="K45" s="1376" t="e">
        <f ca="1">ROUND(CO2_eCostpY/(Feed_CO2_MTpY*CO2_Capture_Efficiency),1)</f>
        <v>#DIV/0!</v>
      </c>
    </row>
    <row r="46" spans="2:11" ht="15" customHeight="1" x14ac:dyDescent="0.25">
      <c r="B46" s="1327" t="s">
        <v>66</v>
      </c>
      <c r="C46" s="1317">
        <f ca="1">(real_irr*(1+real_irr)^anal_period)/(((real_irr+1)^anal_period)-1)</f>
        <v>8.3860161500585326E-2</v>
      </c>
      <c r="D46" s="1312"/>
      <c r="E46" s="1582"/>
      <c r="F46" s="1583"/>
      <c r="H46" s="1592" t="s">
        <v>1240</v>
      </c>
      <c r="I46" s="1593"/>
      <c r="J46" s="1593"/>
      <c r="K46" s="1377" t="e">
        <f ca="1">ROUND((Det_CO2_OandMcost+ CCS_tax_insurance)/(Feed_CO2_MTpY*CO2_Capture_Efficiency),1)</f>
        <v>#DIV/0!</v>
      </c>
    </row>
    <row r="47" spans="2:11" ht="15" customHeight="1" thickBot="1" x14ac:dyDescent="0.3">
      <c r="B47" s="1327" t="s">
        <v>0</v>
      </c>
      <c r="C47" s="1317">
        <f ca="1">INDEX(MACRS_Table,MATCH("NPV - Real IRR",recovery_year,0),MATCH(depr_length,recovery_period,0))*(1+real_irr)</f>
        <v>0.54674112188719604</v>
      </c>
      <c r="D47" s="1312"/>
      <c r="E47" s="1582"/>
      <c r="F47" s="1583"/>
      <c r="H47" s="1594" t="s">
        <v>1241</v>
      </c>
      <c r="I47" s="1595"/>
      <c r="J47" s="1595"/>
      <c r="K47" s="1380" t="e">
        <f ca="1">ROUND((Det_CO2_seq+(-PV(nominal_irr,plant_life,C100)*(1+nominal_irr)))*CO2_cap_charge_rate/(Feed_CO2_MTpY*CO2_Capture_Efficiency),1)</f>
        <v>#DIV/0!</v>
      </c>
    </row>
    <row r="48" spans="2:11" ht="15" customHeight="1" thickTop="1" thickBot="1" x14ac:dyDescent="0.3">
      <c r="B48" s="1330" t="s">
        <v>1</v>
      </c>
      <c r="C48" s="1341">
        <f ca="1">(CO2_cap_rec*(1-total_tax_rate*CO2_depr_factor))/(1-total_tax_rate)</f>
        <v>9.7035312812405017E-2</v>
      </c>
      <c r="D48" s="1331"/>
      <c r="E48" s="1588"/>
      <c r="F48" s="1589"/>
      <c r="H48" s="1584" t="s">
        <v>1289</v>
      </c>
      <c r="I48" s="1585"/>
      <c r="J48" s="1585"/>
      <c r="K48" s="1379" t="e">
        <f ca="1">SUM(K45:K47)</f>
        <v>#DIV/0!</v>
      </c>
    </row>
    <row r="49" spans="2:11" ht="13.5" thickTop="1" thickBot="1" x14ac:dyDescent="0.3"/>
    <row r="50" spans="2:11" ht="18.5" thickTop="1" x14ac:dyDescent="0.25">
      <c r="B50" s="554" t="s">
        <v>1221</v>
      </c>
      <c r="C50" s="563"/>
      <c r="D50" s="563"/>
      <c r="E50" s="563"/>
      <c r="F50" s="563"/>
      <c r="G50" s="563"/>
      <c r="H50" s="563"/>
      <c r="I50" s="563"/>
      <c r="J50" s="563"/>
      <c r="K50" s="564"/>
    </row>
    <row r="51" spans="2:11" ht="13.9" customHeight="1" x14ac:dyDescent="0.25">
      <c r="B51" s="32" t="str">
        <f>"CO2 Pipeline Costs ("&amp;ref_year&amp;" USD)"</f>
        <v>CO2 Pipeline Costs (2016 USD)</v>
      </c>
      <c r="C51" s="1286"/>
      <c r="D51" s="1336" t="s">
        <v>1049</v>
      </c>
      <c r="E51" s="1332" t="s">
        <v>1249</v>
      </c>
      <c r="F51" s="1286"/>
      <c r="G51" s="1286"/>
      <c r="H51" s="1286"/>
      <c r="I51" s="1286"/>
      <c r="J51" s="1286"/>
      <c r="K51" s="565"/>
    </row>
    <row r="52" spans="2:11" ht="12.65" customHeight="1" x14ac:dyDescent="0.25">
      <c r="B52" s="1290" t="s">
        <v>1235</v>
      </c>
      <c r="C52" s="1286"/>
      <c r="D52" s="1286"/>
      <c r="E52" s="1286"/>
      <c r="F52" s="1286"/>
      <c r="G52" s="1286"/>
      <c r="H52" s="1286"/>
      <c r="I52" s="1286"/>
      <c r="J52" s="1286"/>
      <c r="K52" s="565"/>
    </row>
    <row r="53" spans="2:11" ht="12.65" customHeight="1" x14ac:dyDescent="0.4">
      <c r="B53" s="1360" t="s">
        <v>1207</v>
      </c>
      <c r="C53" s="1361" t="e">
        <f ca="1">IF(CO2_PipeDia&gt;20,1.25, IF(CO2_PipeDia&gt;16,1.18,IF(CO2_PipeDia&gt;12,1.12,1)))</f>
        <v>#VALUE!</v>
      </c>
      <c r="D53" s="1362"/>
      <c r="E53" s="1338" t="s">
        <v>1272</v>
      </c>
      <c r="F53" s="1286"/>
      <c r="G53" s="1286"/>
      <c r="H53" s="1286"/>
      <c r="I53" s="1286"/>
      <c r="J53" s="1286"/>
      <c r="K53" s="565"/>
    </row>
    <row r="54" spans="2:11" ht="12.65" customHeight="1" x14ac:dyDescent="0.4">
      <c r="B54" s="1360" t="s">
        <v>1258</v>
      </c>
      <c r="C54" s="1363" t="e">
        <f ca="1">(35000+CO2_PipeLength*(330.5*CO2_PipeDia^2+687*CO2_PipeDia+26960))*NG_to_CO2Pipeline*VLOOKUP(ref_year,Tbl_PlantCostIndexes,2)/VLOOKUP(2000,Tbl_PlantCostIndexes,2)</f>
        <v>#VALUE!</v>
      </c>
      <c r="D54" s="1364" t="str">
        <f>ref_year&amp;"$"</f>
        <v>2016$</v>
      </c>
      <c r="E54" s="1338" t="s">
        <v>1278</v>
      </c>
      <c r="F54" s="1286"/>
      <c r="G54" s="1286"/>
      <c r="H54" s="1286"/>
      <c r="I54" s="1286"/>
      <c r="J54" s="1286"/>
      <c r="K54" s="565"/>
    </row>
    <row r="55" spans="2:11" ht="12.65" customHeight="1" x14ac:dyDescent="0.4">
      <c r="B55" s="1360" t="s">
        <v>1268</v>
      </c>
      <c r="C55" s="1363" t="e">
        <f ca="1">(185000+CO2_PipeLength*(343*CO2_PipeDia^2+2074*CO2_PipeDia+170013))*NG_to_CO2Pipeline*VLOOKUP(ref_year,Tbl_labor_indexes,2)/VLOOKUP(2000,Tbl_labor_indexes,2)</f>
        <v>#VALUE!</v>
      </c>
      <c r="D55" s="1364" t="str">
        <f>ref_year&amp;"$"</f>
        <v>2016$</v>
      </c>
      <c r="E55" s="1338" t="s">
        <v>1279</v>
      </c>
      <c r="F55" s="1286"/>
      <c r="G55" s="1286"/>
      <c r="H55" s="1286"/>
      <c r="I55" s="1286"/>
      <c r="J55" s="1286"/>
      <c r="K55" s="565"/>
    </row>
    <row r="56" spans="2:11" ht="12.65" customHeight="1" x14ac:dyDescent="0.4">
      <c r="B56" s="1360" t="s">
        <v>1267</v>
      </c>
      <c r="C56" s="1363" t="e">
        <f ca="1">(40000+CO2_PipeLength*(0*CO2_PipeDia^2+577*CO2_PipeDia+29788))*NG_to_CO2Pipeline*(VLOOKUP(ref_year,DeflatorTable,2)/VLOOKUP(2000,DeflatorTable,2))</f>
        <v>#VALUE!</v>
      </c>
      <c r="D56" s="1364" t="str">
        <f>ref_year&amp;"$"</f>
        <v>2016$</v>
      </c>
      <c r="E56" s="1338" t="s">
        <v>1280</v>
      </c>
      <c r="F56" s="1286"/>
      <c r="G56" s="1286"/>
      <c r="H56" s="1286"/>
      <c r="I56" s="1286"/>
      <c r="J56" s="1286"/>
      <c r="K56" s="565"/>
    </row>
    <row r="57" spans="2:11" ht="12.65" customHeight="1" x14ac:dyDescent="0.4">
      <c r="B57" s="1360" t="s">
        <v>1266</v>
      </c>
      <c r="C57" s="1363" t="e">
        <f ca="1">(95000+CO2_PipeLength*(0*CO2_PipeDia^2+8417*CO2_PipeDia+7324))*NG_to_CO2Pipeline*VLOOKUP(ref_year,DeflatorTable,2)/VLOOKUP(2000,DeflatorTable,2)</f>
        <v>#VALUE!</v>
      </c>
      <c r="D57" s="1364" t="str">
        <f>ref_year&amp;"$"</f>
        <v>2016$</v>
      </c>
      <c r="E57" s="1338" t="s">
        <v>1281</v>
      </c>
      <c r="F57" s="1286"/>
      <c r="G57" s="1286"/>
      <c r="H57" s="1286"/>
      <c r="I57" s="1286"/>
      <c r="J57" s="1286"/>
      <c r="K57" s="565"/>
    </row>
    <row r="58" spans="2:11" ht="12.65" customHeight="1" x14ac:dyDescent="0.25">
      <c r="B58" s="1360" t="s">
        <v>1269</v>
      </c>
      <c r="C58" s="1363" t="e">
        <f ca="1">SUM(C54:C57)/CO2_PipeLength</f>
        <v>#VALUE!</v>
      </c>
      <c r="D58" s="1364" t="str">
        <f>ref_year&amp;"$/mile"</f>
        <v>2016$/mile</v>
      </c>
      <c r="E58" s="1292"/>
      <c r="F58" s="1310"/>
      <c r="G58" s="1310"/>
      <c r="H58" s="1310"/>
      <c r="I58" s="1310"/>
      <c r="J58" s="1310"/>
      <c r="K58" s="565"/>
    </row>
    <row r="59" spans="2:11" ht="12.65" customHeight="1" x14ac:dyDescent="0.25">
      <c r="B59" s="1288"/>
      <c r="C59" s="1302"/>
      <c r="D59" s="1286"/>
      <c r="E59" s="1292"/>
      <c r="F59" s="1286"/>
      <c r="G59" s="1286"/>
      <c r="H59" s="1286"/>
      <c r="I59" s="1286"/>
      <c r="J59" s="1286"/>
      <c r="K59" s="565"/>
    </row>
    <row r="60" spans="2:11" ht="12.65" customHeight="1" x14ac:dyDescent="0.25">
      <c r="B60" s="1290" t="s">
        <v>416</v>
      </c>
      <c r="C60" s="1302"/>
      <c r="D60" s="1286"/>
      <c r="E60" s="1292"/>
      <c r="F60" s="1286"/>
      <c r="G60" s="1286"/>
      <c r="H60" s="1286"/>
      <c r="I60" s="1286"/>
      <c r="J60" s="1286"/>
      <c r="K60" s="565"/>
    </row>
    <row r="61" spans="2:11" ht="12.65" customHeight="1" x14ac:dyDescent="0.25">
      <c r="B61" s="1360" t="s">
        <v>1265</v>
      </c>
      <c r="C61" s="1363">
        <f>5000*CO2_PipeLength*(VLOOKUP(ref_year,Tbl_PlantCostIndexes,2)/VLOOKUP(1999,Tbl_PlantCostIndexes,2))</f>
        <v>693420.37890424987</v>
      </c>
      <c r="D61" s="1364" t="str">
        <f>ref_year&amp;"$/year"</f>
        <v>2016$/year</v>
      </c>
      <c r="E61" s="1293" t="s">
        <v>1282</v>
      </c>
      <c r="F61" s="1286"/>
      <c r="G61" s="1286"/>
      <c r="H61" s="1286"/>
      <c r="I61" s="1286"/>
      <c r="J61" s="1286"/>
      <c r="K61" s="565"/>
    </row>
    <row r="62" spans="2:11" ht="12.65" customHeight="1" x14ac:dyDescent="0.25">
      <c r="B62" s="1288"/>
      <c r="C62" s="1286"/>
      <c r="D62" s="1286"/>
      <c r="E62" s="1292"/>
      <c r="F62" s="1286"/>
      <c r="G62" s="1286"/>
      <c r="H62" s="1286"/>
      <c r="I62" s="1286"/>
      <c r="J62" s="1286"/>
      <c r="K62" s="565"/>
    </row>
    <row r="63" spans="2:11" ht="12.65" customHeight="1" x14ac:dyDescent="0.25">
      <c r="B63" s="1288"/>
      <c r="C63" s="1286"/>
      <c r="D63" s="1286"/>
      <c r="E63" s="1292"/>
      <c r="F63" s="1286"/>
      <c r="G63" s="1286"/>
      <c r="H63" s="1286"/>
      <c r="I63" s="1286"/>
      <c r="J63" s="1286"/>
      <c r="K63" s="565"/>
    </row>
    <row r="64" spans="2:11" ht="13.9" customHeight="1" x14ac:dyDescent="0.25">
      <c r="B64" s="32" t="s">
        <v>1206</v>
      </c>
      <c r="C64" s="1286"/>
      <c r="D64" s="1286"/>
      <c r="E64" s="1292"/>
      <c r="F64" s="1286"/>
      <c r="G64" s="1286"/>
      <c r="H64" s="1286"/>
      <c r="I64" s="1286"/>
      <c r="J64" s="1286"/>
      <c r="K64" s="565"/>
    </row>
    <row r="65" spans="2:11" ht="12.65" customHeight="1" x14ac:dyDescent="0.25">
      <c r="B65" s="1290" t="s">
        <v>83</v>
      </c>
      <c r="C65" s="1286"/>
      <c r="D65" s="1286"/>
      <c r="E65" s="1292"/>
      <c r="F65" s="1286"/>
      <c r="G65" s="1286"/>
      <c r="H65" s="1286"/>
      <c r="I65" s="1286"/>
      <c r="J65" s="1286"/>
      <c r="K65" s="565"/>
    </row>
    <row r="66" spans="2:11" ht="12.65" customHeight="1" x14ac:dyDescent="0.25">
      <c r="B66" s="1360" t="s">
        <v>1212</v>
      </c>
      <c r="C66" s="1365">
        <f>CO2_Pin_psia</f>
        <v>14.7</v>
      </c>
      <c r="D66" s="1364" t="s">
        <v>1214</v>
      </c>
      <c r="E66" s="1292"/>
      <c r="F66" s="1286"/>
      <c r="G66" s="1286"/>
      <c r="H66" s="1286"/>
      <c r="I66" s="1286"/>
      <c r="J66" s="1286"/>
      <c r="K66" s="565"/>
    </row>
    <row r="67" spans="2:11" ht="12.65" customHeight="1" x14ac:dyDescent="0.25">
      <c r="B67" s="1360" t="s">
        <v>1213</v>
      </c>
      <c r="C67" s="1365">
        <f>15*MPa_to_psi</f>
        <v>2175.5700000000002</v>
      </c>
      <c r="D67" s="1364" t="s">
        <v>1214</v>
      </c>
      <c r="E67" s="1292"/>
      <c r="F67" s="1286"/>
      <c r="G67" s="1286"/>
      <c r="H67" s="1286"/>
      <c r="I67" s="1286"/>
      <c r="J67" s="1286"/>
      <c r="K67" s="565"/>
    </row>
    <row r="68" spans="2:11" ht="15.5" x14ac:dyDescent="0.25">
      <c r="B68" s="1360" t="s">
        <v>1215</v>
      </c>
      <c r="C68" s="1365">
        <f ca="1">(1000*1000000*0.001/ (24*3600))*(CO2_flowrate/cap_factor*(C67-C66)/MPa_to_psi)/(C41*Pump_Eff)</f>
        <v>0</v>
      </c>
      <c r="D68" s="1366" t="s">
        <v>414</v>
      </c>
      <c r="E68" s="1293" t="s">
        <v>1275</v>
      </c>
      <c r="F68" s="1286"/>
      <c r="G68" s="1286"/>
      <c r="H68" s="1286"/>
      <c r="I68" s="1286"/>
      <c r="J68" s="1286"/>
      <c r="K68" s="565"/>
    </row>
    <row r="69" spans="2:11" ht="12.65" customHeight="1" x14ac:dyDescent="0.25">
      <c r="B69" s="1360" t="s">
        <v>1261</v>
      </c>
      <c r="C69" s="1363">
        <f>70000*VLOOKUP(ref_year,Tbl_PlantCostIndexes,2)/VLOOKUP(2005,Tbl_PlantCostIndexes,2)</f>
        <v>80988.893635198634</v>
      </c>
      <c r="D69" s="1364" t="str">
        <f>ref_year&amp;"$"</f>
        <v>2016$</v>
      </c>
      <c r="E69" s="1293" t="s">
        <v>1276</v>
      </c>
      <c r="F69" s="1286"/>
      <c r="G69" s="1286"/>
      <c r="H69" s="1286"/>
      <c r="I69" s="1286"/>
      <c r="J69" s="1286"/>
      <c r="K69" s="565"/>
    </row>
    <row r="70" spans="2:11" ht="12.65" customHeight="1" x14ac:dyDescent="0.25">
      <c r="B70" s="1360" t="s">
        <v>1262</v>
      </c>
      <c r="C70" s="1363">
        <f ca="1">1110*C68*VLOOKUP(ref_year,Tbl_PlantCostIndexes,2)/VLOOKUP(2005,Tbl_PlantCostIndexes,2)</f>
        <v>0</v>
      </c>
      <c r="D70" s="1364" t="str">
        <f>ref_year&amp;"$"</f>
        <v>2016$</v>
      </c>
      <c r="E70" s="1293" t="s">
        <v>1274</v>
      </c>
      <c r="F70" s="1286"/>
      <c r="G70" s="1286"/>
      <c r="H70" s="1286"/>
      <c r="I70" s="1286"/>
      <c r="J70" s="1286"/>
      <c r="K70" s="565"/>
    </row>
    <row r="71" spans="2:11" ht="12.65" customHeight="1" x14ac:dyDescent="0.4">
      <c r="B71" s="1360" t="s">
        <v>1271</v>
      </c>
      <c r="C71" s="1363">
        <f ca="1">SUM(C69:C70)</f>
        <v>80988.893635198634</v>
      </c>
      <c r="D71" s="1364" t="str">
        <f>ref_year&amp;"$"</f>
        <v>2016$</v>
      </c>
      <c r="E71" s="1339" t="s">
        <v>1273</v>
      </c>
      <c r="F71" s="1310"/>
      <c r="G71" s="1310"/>
      <c r="H71" s="1310"/>
      <c r="I71" s="1310"/>
      <c r="J71" s="1310"/>
      <c r="K71" s="565"/>
    </row>
    <row r="72" spans="2:11" ht="12.65" customHeight="1" x14ac:dyDescent="0.25">
      <c r="B72" s="1289"/>
      <c r="C72" s="1295"/>
      <c r="D72" s="1294"/>
      <c r="E72" s="1292"/>
      <c r="F72" s="1286"/>
      <c r="G72" s="1286"/>
      <c r="H72" s="1286"/>
      <c r="I72" s="1286"/>
      <c r="J72" s="1286"/>
      <c r="K72" s="565"/>
    </row>
    <row r="73" spans="2:11" ht="12.65" customHeight="1" x14ac:dyDescent="0.25">
      <c r="B73" s="1290" t="s">
        <v>1218</v>
      </c>
      <c r="C73" s="1286"/>
      <c r="D73" s="1294"/>
      <c r="E73" s="1292"/>
      <c r="F73" s="1286"/>
      <c r="G73" s="1286"/>
      <c r="H73" s="1286"/>
      <c r="I73" s="1286"/>
      <c r="J73" s="1286"/>
      <c r="K73" s="565"/>
    </row>
    <row r="74" spans="2:11" ht="12.65" customHeight="1" x14ac:dyDescent="0.25">
      <c r="B74" s="1360" t="s">
        <v>1220</v>
      </c>
      <c r="C74" s="1363">
        <f ca="1">CO2_eCost*pump_power*cap_factor*24*365*n_CO2_pumps</f>
        <v>0</v>
      </c>
      <c r="D74" s="1367" t="str">
        <f>startup_year&amp;"$/year"</f>
        <v>2015$/year</v>
      </c>
      <c r="E74" s="1298" t="s">
        <v>1219</v>
      </c>
      <c r="F74" s="1286"/>
      <c r="G74" s="1286"/>
      <c r="H74" s="1286"/>
      <c r="I74" s="1286"/>
      <c r="J74" s="1286"/>
      <c r="K74" s="565"/>
    </row>
    <row r="75" spans="2:11" ht="12.65" customHeight="1" x14ac:dyDescent="0.25">
      <c r="B75" s="1360" t="s">
        <v>1259</v>
      </c>
      <c r="C75" s="1368">
        <f ca="1">pump_power*cap_factor*24*365*n_CO2_pumps/output_kgyear</f>
        <v>0</v>
      </c>
      <c r="D75" s="1369" t="s">
        <v>1260</v>
      </c>
      <c r="E75" s="1310"/>
      <c r="F75" s="1310"/>
      <c r="G75" s="1310"/>
      <c r="H75" s="1310"/>
      <c r="I75" s="1310"/>
      <c r="J75" s="1310"/>
      <c r="K75" s="565"/>
    </row>
    <row r="76" spans="2:11" ht="12.65" customHeight="1" x14ac:dyDescent="0.25">
      <c r="B76" s="1288"/>
      <c r="C76" s="1286"/>
      <c r="D76" s="1286"/>
      <c r="E76" s="1286"/>
      <c r="F76" s="1286"/>
      <c r="G76" s="1286"/>
      <c r="H76" s="1286"/>
      <c r="I76" s="1286"/>
      <c r="J76" s="1286"/>
      <c r="K76" s="565"/>
    </row>
    <row r="77" spans="2:11" ht="12.65" customHeight="1" x14ac:dyDescent="0.25">
      <c r="B77" s="1290" t="s">
        <v>416</v>
      </c>
      <c r="C77" s="1287"/>
      <c r="D77" s="1287"/>
      <c r="E77" s="1287"/>
      <c r="F77" s="1287"/>
      <c r="G77" s="1287"/>
      <c r="H77" s="1287"/>
      <c r="I77" s="1287"/>
      <c r="J77" s="1287"/>
      <c r="K77" s="565"/>
    </row>
    <row r="78" spans="2:11" ht="12.65" customHeight="1" x14ac:dyDescent="0.25">
      <c r="B78" s="1360" t="s">
        <v>1263</v>
      </c>
      <c r="C78" s="1370">
        <f ca="1">C71*CO2_MaintFactor</f>
        <v>3239.5557454079453</v>
      </c>
      <c r="D78" s="1364" t="str">
        <f>ref_year&amp;"$/year"</f>
        <v>2016$/year</v>
      </c>
      <c r="E78" s="1287"/>
      <c r="F78" s="1287"/>
      <c r="G78" s="1287"/>
      <c r="H78" s="1287"/>
      <c r="I78" s="1287"/>
      <c r="J78" s="1287"/>
      <c r="K78" s="565"/>
    </row>
    <row r="79" spans="2:11" ht="12.65" customHeight="1" x14ac:dyDescent="0.25">
      <c r="B79" s="1288"/>
      <c r="C79" s="1287"/>
      <c r="D79" s="1287"/>
      <c r="E79" s="1287"/>
      <c r="F79" s="1287"/>
      <c r="G79" s="1287"/>
      <c r="H79" s="1287"/>
      <c r="I79" s="1287"/>
      <c r="J79" s="1287"/>
      <c r="K79" s="565"/>
    </row>
    <row r="80" spans="2:11" ht="15" customHeight="1" x14ac:dyDescent="0.25">
      <c r="B80" s="32" t="s">
        <v>1209</v>
      </c>
      <c r="C80" s="1286"/>
      <c r="D80" s="1286"/>
      <c r="E80" s="1286"/>
      <c r="F80" s="1286"/>
      <c r="G80" s="1286"/>
      <c r="H80" s="1286"/>
      <c r="I80" s="1286"/>
      <c r="J80" s="1286"/>
      <c r="K80" s="565"/>
    </row>
    <row r="81" spans="2:13" ht="12.65" customHeight="1" x14ac:dyDescent="0.25">
      <c r="B81" s="1290" t="s">
        <v>83</v>
      </c>
      <c r="C81" s="1286"/>
      <c r="D81" s="1286"/>
      <c r="E81" s="1286"/>
      <c r="F81" s="1286"/>
      <c r="G81" s="1286"/>
      <c r="H81" s="1286"/>
      <c r="I81" s="1286"/>
      <c r="J81" s="1286"/>
      <c r="K81" s="565"/>
    </row>
    <row r="82" spans="2:13" ht="12.65" customHeight="1" x14ac:dyDescent="0.25">
      <c r="B82" s="1360" t="s">
        <v>1210</v>
      </c>
      <c r="C82" s="1363">
        <f ca="1">IF(C35="yes",701600*(CO2_flowrate_GTpY/3.2)^Scaling_Factor_Exponent*(VLOOKUP(ref_year,Tbl_PlantCostIndexes,2)/VLOOKUP(2000,Tbl_PlantCostIndexes,2)),0)</f>
        <v>0</v>
      </c>
      <c r="D82" s="1364" t="str">
        <f>ref_year&amp;"$"</f>
        <v>2016$</v>
      </c>
      <c r="E82" s="1293" t="s">
        <v>1277</v>
      </c>
      <c r="F82" s="1286"/>
      <c r="G82" s="1286"/>
      <c r="H82" s="1286"/>
      <c r="I82" s="1286"/>
      <c r="J82" s="1286"/>
      <c r="K82" s="565"/>
    </row>
    <row r="83" spans="2:13" ht="12.65" customHeight="1" x14ac:dyDescent="0.25">
      <c r="B83" s="1360" t="s">
        <v>1264</v>
      </c>
      <c r="C83" s="1363">
        <f ca="1">IF(C34="yes",94000*(CO2_flowrate_GTpY/3.2)^Scaling_Factor_Exponent*(VLOOKUP(ref_year,Tbl_PlantCostIndexes,2)/VLOOKUP(2000,Tbl_PlantCostIndexes,2)),0)</f>
        <v>0</v>
      </c>
      <c r="D83" s="1364" t="str">
        <f>ref_year&amp;"$"</f>
        <v>2016$</v>
      </c>
      <c r="E83" s="1293" t="s">
        <v>1277</v>
      </c>
      <c r="F83" s="1286"/>
      <c r="G83" s="1286"/>
      <c r="H83" s="1286"/>
      <c r="I83" s="1286"/>
      <c r="J83" s="1286"/>
      <c r="K83" s="565"/>
    </row>
    <row r="84" spans="2:13" ht="12.65" customHeight="1" x14ac:dyDescent="0.25">
      <c r="B84" s="1289"/>
      <c r="C84" s="1286"/>
      <c r="D84" s="1286"/>
      <c r="E84" s="1286"/>
      <c r="F84" s="1286"/>
      <c r="G84" s="1286"/>
      <c r="H84" s="1286"/>
      <c r="I84" s="1286"/>
      <c r="J84" s="1286"/>
      <c r="K84" s="565"/>
    </row>
    <row r="85" spans="2:13" ht="12.65" customHeight="1" x14ac:dyDescent="0.25">
      <c r="B85" s="1290" t="s">
        <v>416</v>
      </c>
      <c r="C85" s="1287"/>
      <c r="D85" s="1287"/>
      <c r="E85" s="1287"/>
      <c r="F85" s="1287"/>
      <c r="G85" s="1287"/>
      <c r="H85" s="1287"/>
      <c r="I85" s="1287"/>
      <c r="J85" s="1287"/>
      <c r="K85" s="565"/>
    </row>
    <row r="86" spans="2:13" ht="12.65" customHeight="1" x14ac:dyDescent="0.25">
      <c r="B86" s="1360" t="s">
        <v>1263</v>
      </c>
      <c r="C86" s="1363">
        <f ca="1">SUM(C82:C83)*CO2_MaintFactor</f>
        <v>0</v>
      </c>
      <c r="D86" s="1364" t="str">
        <f>ref_year&amp;"$/year"</f>
        <v>2016$/year</v>
      </c>
      <c r="E86" s="1310"/>
      <c r="F86" s="1310"/>
      <c r="G86" s="1310"/>
      <c r="H86" s="1310"/>
      <c r="I86" s="1310"/>
      <c r="J86" s="1310"/>
      <c r="K86" s="565"/>
    </row>
    <row r="87" spans="2:13" s="1286" customFormat="1" ht="12.65" customHeight="1" thickBot="1" x14ac:dyDescent="0.3">
      <c r="B87" s="1299"/>
      <c r="C87" s="566"/>
      <c r="D87" s="566"/>
      <c r="E87" s="566"/>
      <c r="F87" s="566"/>
      <c r="G87" s="566"/>
      <c r="H87" s="566"/>
      <c r="I87" s="566"/>
      <c r="J87" s="566"/>
      <c r="K87" s="567"/>
    </row>
    <row r="88" spans="2:13" s="1287" customFormat="1" ht="12.65" customHeight="1" thickTop="1" thickBot="1" x14ac:dyDescent="0.3">
      <c r="B88" s="1291"/>
    </row>
    <row r="89" spans="2:13" s="1287" customFormat="1" ht="21" customHeight="1" thickTop="1" x14ac:dyDescent="0.25">
      <c r="B89" s="554" t="s">
        <v>1229</v>
      </c>
      <c r="C89" s="563"/>
      <c r="D89" s="563"/>
      <c r="E89" s="563"/>
      <c r="F89" s="563"/>
      <c r="G89" s="563"/>
      <c r="H89" s="563"/>
      <c r="I89" s="563"/>
      <c r="J89" s="563"/>
      <c r="K89" s="564"/>
    </row>
    <row r="90" spans="2:13" s="1287" customFormat="1" ht="12.65" customHeight="1" x14ac:dyDescent="0.25">
      <c r="B90" s="32" t="s">
        <v>1234</v>
      </c>
      <c r="C90" s="1310"/>
      <c r="D90" s="1336" t="s">
        <v>1049</v>
      </c>
      <c r="E90" s="1332" t="s">
        <v>1249</v>
      </c>
      <c r="F90" s="1310"/>
      <c r="G90" s="1310"/>
      <c r="H90" s="1310"/>
      <c r="I90" s="1310"/>
      <c r="J90" s="1310"/>
      <c r="K90" s="565"/>
      <c r="L90" s="1310"/>
      <c r="M90" s="1310"/>
    </row>
    <row r="91" spans="2:13" s="1296" customFormat="1" hidden="1" x14ac:dyDescent="0.25">
      <c r="B91" s="1289" t="s">
        <v>1232</v>
      </c>
      <c r="C91" s="568">
        <f>VLOOKUP(2005,DeflatorTable,2)/VLOOKUP(2008,DeflatorTable,2)</f>
        <v>0.92676070528967247</v>
      </c>
      <c r="D91" s="1310"/>
      <c r="E91" s="1310"/>
      <c r="F91" s="1310"/>
      <c r="G91" s="1310"/>
      <c r="H91" s="1310"/>
      <c r="I91" s="1310"/>
      <c r="J91" s="1310"/>
      <c r="K91" s="565"/>
      <c r="L91" s="1310"/>
      <c r="M91" s="1310"/>
    </row>
    <row r="92" spans="2:13" s="1287" customFormat="1" ht="12.65" customHeight="1" x14ac:dyDescent="0.25">
      <c r="B92" s="1290" t="str">
        <f>"Capital Costs by Stage (Annual Cost of "&amp;plant_life&amp;" year project in "&amp;ref_year&amp;"$)"</f>
        <v>Capital Costs by Stage (Annual Cost of 40 year project in 2016$)</v>
      </c>
      <c r="C92" s="1310"/>
      <c r="D92" s="1310"/>
      <c r="E92" s="1293" t="s">
        <v>1285</v>
      </c>
      <c r="F92" s="1310"/>
      <c r="G92" s="1310"/>
      <c r="H92" s="1310"/>
      <c r="I92" s="1310"/>
      <c r="J92" s="1310"/>
      <c r="K92" s="565"/>
      <c r="L92" s="1310"/>
      <c r="M92" s="1310"/>
    </row>
    <row r="93" spans="2:13" s="1287" customFormat="1" ht="12.65" customHeight="1" x14ac:dyDescent="0.25">
      <c r="B93" s="1360" t="s">
        <v>1225</v>
      </c>
      <c r="C93" s="1363">
        <f>94000*VLOOKUP(ref_year,Tbl_labor_indexes,2)/VLOOKUP(2008,Tbl_labor_indexes,2)</f>
        <v>109497.94871794869</v>
      </c>
      <c r="D93" s="1364" t="str">
        <f>ref_year&amp;"$"</f>
        <v>2016$</v>
      </c>
      <c r="F93" s="1310"/>
      <c r="G93" s="1310"/>
      <c r="H93" s="1310"/>
      <c r="I93" s="1310"/>
      <c r="J93" s="1310"/>
      <c r="K93" s="565"/>
      <c r="L93" s="1310"/>
      <c r="M93" s="1310"/>
    </row>
    <row r="94" spans="2:13" s="1287" customFormat="1" ht="12.65" customHeight="1" x14ac:dyDescent="0.25">
      <c r="B94" s="1360" t="s">
        <v>1226</v>
      </c>
      <c r="C94" s="1363">
        <f ca="1">(-16600*CO2_flowrate_GTpY^2+53500*CO2_flowrate_GTpY+20300)*1000*VLOOKUP(ref_year,Tbl_labor_indexes,2)/VLOOKUP(2008,Tbl_labor_indexes,2)</f>
        <v>23646897.435897429</v>
      </c>
      <c r="D94" s="1364" t="str">
        <f>ref_year&amp;"$"</f>
        <v>2016$</v>
      </c>
      <c r="E94" s="1310"/>
      <c r="F94" s="1310"/>
      <c r="G94" s="1310"/>
      <c r="H94" s="1310"/>
      <c r="I94" s="1310"/>
      <c r="J94" s="1310"/>
      <c r="K94" s="565"/>
      <c r="L94" s="1310"/>
      <c r="M94" s="1310"/>
    </row>
    <row r="95" spans="2:13" s="1287" customFormat="1" ht="12.65" customHeight="1" x14ac:dyDescent="0.25">
      <c r="B95" s="1360" t="s">
        <v>169</v>
      </c>
      <c r="C95" s="1363">
        <f ca="1" xml:space="preserve"> (-400*CO2_flowrate_GTpY^2 + 2200*CO2_flowrate_GTpY + 13800)*1000*VLOOKUP(ref_year,Tbl_labor_indexes,2)/VLOOKUP(2008,Tbl_labor_indexes,2)</f>
        <v>16075230.769230762</v>
      </c>
      <c r="D95" s="1364" t="str">
        <f>ref_year&amp;"$"</f>
        <v>2016$</v>
      </c>
      <c r="E95" s="1310"/>
      <c r="F95" s="1310"/>
      <c r="G95" s="1310"/>
      <c r="H95" s="1310"/>
      <c r="I95" s="1310"/>
      <c r="J95" s="1310"/>
      <c r="K95" s="565"/>
      <c r="L95" s="1310"/>
      <c r="M95" s="1310"/>
    </row>
    <row r="96" spans="2:13" s="1310" customFormat="1" ht="12.65" customHeight="1" x14ac:dyDescent="0.25">
      <c r="B96" s="1289"/>
      <c r="C96" s="1308"/>
      <c r="K96" s="565"/>
    </row>
    <row r="97" spans="2:13" s="1310" customFormat="1" ht="12.65" customHeight="1" x14ac:dyDescent="0.25">
      <c r="B97" s="1290" t="s">
        <v>1257</v>
      </c>
      <c r="C97" s="1308"/>
      <c r="E97" s="1293"/>
      <c r="K97" s="565"/>
    </row>
    <row r="98" spans="2:13" s="1287" customFormat="1" ht="12.65" customHeight="1" x14ac:dyDescent="0.25">
      <c r="B98" s="1360" t="s">
        <v>1283</v>
      </c>
      <c r="C98" s="1363">
        <f ca="1">(-36000*CO2_flowrate_GTpY^2+224000*CO2_flowrate_GTpY+47000)*1000*(VLOOKUP(ref_year,Tbl_labor_indexes,2)/VLOOKUP(2008,Tbl_labor_indexes,2))/plant_life</f>
        <v>1368724.3589743585</v>
      </c>
      <c r="D98" s="1364" t="str">
        <f>ref_year&amp;"$/year"</f>
        <v>2016$/year</v>
      </c>
      <c r="E98" s="1310"/>
      <c r="F98" s="1310"/>
      <c r="G98" s="1310"/>
      <c r="H98" s="1310"/>
      <c r="I98" s="1310"/>
      <c r="J98" s="1310"/>
      <c r="K98" s="565"/>
      <c r="L98" s="1310"/>
      <c r="M98" s="1310"/>
    </row>
    <row r="99" spans="2:13" s="1287" customFormat="1" ht="12.65" customHeight="1" x14ac:dyDescent="0.25">
      <c r="B99" s="1360" t="s">
        <v>1228</v>
      </c>
      <c r="C99" s="1363">
        <f ca="1">(-18000*CO2_flowrate_GTpY^2 + 183000*CO2_flowrate_GTpY+ 40000)*1000*(VLOOKUP(ref_year,Tbl_labor_indexes,2)/VLOOKUP(2008,Tbl_labor_indexes,2))/plant_life</f>
        <v>1164871.7948717945</v>
      </c>
      <c r="D99" s="1364" t="str">
        <f>ref_year&amp;"$/year"</f>
        <v>2016$/year</v>
      </c>
      <c r="E99" s="1310"/>
      <c r="F99" s="1310"/>
      <c r="G99" s="1310"/>
      <c r="H99" s="1310"/>
      <c r="I99" s="1310"/>
      <c r="J99" s="1310"/>
      <c r="K99" s="565"/>
      <c r="L99" s="1310"/>
      <c r="M99" s="1310"/>
    </row>
    <row r="100" spans="2:13" s="1310" customFormat="1" ht="12.65" customHeight="1" x14ac:dyDescent="0.25">
      <c r="B100" s="1360" t="s">
        <v>1284</v>
      </c>
      <c r="C100" s="1381">
        <f>+IF(CO2_Capture_Efficiency,SUM(C98:C99),0)</f>
        <v>0</v>
      </c>
      <c r="D100" s="1364" t="str">
        <f>ref_year&amp;"$/year"</f>
        <v>2016$/year</v>
      </c>
      <c r="K100" s="565"/>
    </row>
    <row r="101" spans="2:13" s="1287" customFormat="1" ht="12.65" customHeight="1" x14ac:dyDescent="0.25">
      <c r="B101" s="1290"/>
      <c r="C101" s="1308"/>
      <c r="D101" s="1310"/>
      <c r="E101" s="1310"/>
      <c r="F101" s="1310"/>
      <c r="G101" s="1310"/>
      <c r="H101" s="1310"/>
      <c r="I101" s="1310"/>
      <c r="J101" s="1310"/>
      <c r="K101" s="565"/>
      <c r="L101" s="1310"/>
      <c r="M101" s="1310"/>
    </row>
    <row r="102" spans="2:13" s="1287" customFormat="1" ht="12.65" customHeight="1" x14ac:dyDescent="0.25">
      <c r="B102" s="1290" t="s">
        <v>1230</v>
      </c>
      <c r="C102" s="1308"/>
      <c r="D102" s="1310"/>
      <c r="E102" s="1293"/>
      <c r="F102" s="1310"/>
      <c r="G102" s="1310"/>
      <c r="H102" s="1310"/>
      <c r="I102" s="1310"/>
      <c r="J102" s="1310"/>
      <c r="K102" s="565"/>
      <c r="L102" s="1310"/>
      <c r="M102" s="1310"/>
    </row>
    <row r="103" spans="2:13" s="1286" customFormat="1" ht="12.65" customHeight="1" x14ac:dyDescent="0.25">
      <c r="B103" s="1360" t="s">
        <v>1225</v>
      </c>
      <c r="C103" s="1363">
        <f>0*(VLOOKUP(ref_year,Tbl_labor_indexes,2)/VLOOKUP(2008,Tbl_labor_indexes,2))</f>
        <v>0</v>
      </c>
      <c r="D103" s="1364" t="str">
        <f>ref_year&amp;"$/year"</f>
        <v>2016$/year</v>
      </c>
      <c r="E103" s="1310"/>
      <c r="F103" s="1310"/>
      <c r="G103" s="1310"/>
      <c r="H103" s="1310"/>
      <c r="I103" s="1310"/>
      <c r="J103" s="1310"/>
      <c r="K103" s="565"/>
      <c r="L103" s="1310"/>
      <c r="M103" s="1310"/>
    </row>
    <row r="104" spans="2:13" s="1287" customFormat="1" ht="12.65" customHeight="1" x14ac:dyDescent="0.25">
      <c r="B104" s="1360" t="s">
        <v>1226</v>
      </c>
      <c r="C104" s="1363">
        <f>395000*(VLOOKUP(ref_year,Tbl_labor_indexes,2)/VLOOKUP(2008,Tbl_labor_indexes,2))/plant_life</f>
        <v>11503.108974358973</v>
      </c>
      <c r="D104" s="1364" t="str">
        <f>ref_year&amp;"$/year"</f>
        <v>2016$/year</v>
      </c>
      <c r="E104" s="1310"/>
      <c r="F104" s="1310"/>
      <c r="G104" s="1310"/>
      <c r="H104" s="1310"/>
      <c r="I104" s="1310"/>
      <c r="J104" s="1310"/>
      <c r="K104" s="565"/>
      <c r="L104" s="1310"/>
      <c r="M104" s="1310"/>
    </row>
    <row r="105" spans="2:13" s="1287" customFormat="1" ht="12.65" customHeight="1" x14ac:dyDescent="0.25">
      <c r="B105" s="1360" t="s">
        <v>169</v>
      </c>
      <c r="C105" s="1363">
        <f>100000*(VLOOKUP(ref_year,Tbl_labor_indexes,2)/VLOOKUP(2008,Tbl_labor_indexes,2))/plant_life</f>
        <v>2912.1794871794864</v>
      </c>
      <c r="D105" s="1364" t="str">
        <f>ref_year&amp;"$/year"</f>
        <v>2016$/year</v>
      </c>
      <c r="E105" s="1310"/>
      <c r="F105" s="1310"/>
      <c r="G105" s="1310"/>
      <c r="H105" s="1310"/>
      <c r="I105" s="1310"/>
      <c r="J105" s="1310"/>
      <c r="K105" s="565"/>
      <c r="L105" s="1310"/>
      <c r="M105" s="1310"/>
    </row>
    <row r="106" spans="2:13" s="1287" customFormat="1" ht="12.65" customHeight="1" x14ac:dyDescent="0.25">
      <c r="B106" s="1360" t="s">
        <v>1227</v>
      </c>
      <c r="C106" s="1363">
        <f ca="1" xml:space="preserve"> (-30000*CO2_flowrate_GTpY^2 + 143000*CO2_flowrate_GTpY + 41000)*1000*(VLOOKUP(ref_year,Tbl_labor_indexes,2)/VLOOKUP(2008,Tbl_labor_indexes,2))/plant_life</f>
        <v>1193993.5897435895</v>
      </c>
      <c r="D106" s="1364" t="str">
        <f>ref_year&amp;"$/year"</f>
        <v>2016$/year</v>
      </c>
      <c r="E106" s="1310"/>
      <c r="F106" s="1310"/>
      <c r="G106" s="1310"/>
      <c r="H106" s="1310"/>
      <c r="I106" s="1310"/>
      <c r="J106" s="1310"/>
      <c r="K106" s="565"/>
      <c r="L106" s="1310"/>
      <c r="M106" s="1310"/>
    </row>
    <row r="107" spans="2:13" s="1287" customFormat="1" ht="12.65" customHeight="1" x14ac:dyDescent="0.25">
      <c r="B107" s="1360" t="s">
        <v>1228</v>
      </c>
      <c r="C107" s="1363">
        <f ca="1">(111200*CO2_flowrate_GTpY+27733.33)*1000*(VLOOKUP(ref_year,Tbl_labor_indexes,2)/VLOOKUP(2008,Tbl_labor_indexes,2))/plant_life</f>
        <v>807644.34737179463</v>
      </c>
      <c r="D107" s="1364" t="str">
        <f>ref_year&amp;"$/year"</f>
        <v>2016$/year</v>
      </c>
      <c r="E107" s="1310"/>
      <c r="F107" s="1310"/>
      <c r="G107" s="1310"/>
      <c r="H107" s="1310"/>
      <c r="I107" s="1310"/>
      <c r="J107" s="1310"/>
      <c r="K107" s="565"/>
      <c r="L107" s="1310"/>
      <c r="M107" s="1310"/>
    </row>
    <row r="108" spans="2:13" s="1287" customFormat="1" ht="12.65" customHeight="1" thickBot="1" x14ac:dyDescent="0.3">
      <c r="B108" s="1299"/>
      <c r="C108" s="566"/>
      <c r="D108" s="566"/>
      <c r="E108" s="566"/>
      <c r="F108" s="566"/>
      <c r="G108" s="566"/>
      <c r="H108" s="566"/>
      <c r="I108" s="566"/>
      <c r="J108" s="566"/>
      <c r="K108" s="567"/>
      <c r="L108" s="1310"/>
      <c r="M108" s="1310"/>
    </row>
    <row r="109" spans="2:13" s="1287" customFormat="1" ht="12.65" customHeight="1" thickTop="1" x14ac:dyDescent="0.25">
      <c r="B109" s="1291"/>
      <c r="C109" s="1309"/>
      <c r="D109" s="1292"/>
      <c r="L109" s="1310"/>
      <c r="M109" s="1310"/>
    </row>
    <row r="110" spans="2:13" x14ac:dyDescent="0.25">
      <c r="L110" s="1310"/>
      <c r="M110" s="1310"/>
    </row>
    <row r="111" spans="2:13" x14ac:dyDescent="0.25">
      <c r="L111" s="1310"/>
      <c r="M111" s="1310"/>
    </row>
  </sheetData>
  <mergeCells count="48">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 ref="E33:F33"/>
    <mergeCell ref="H46:J46"/>
    <mergeCell ref="H38:I38"/>
    <mergeCell ref="H40:I40"/>
    <mergeCell ref="H35:I35"/>
    <mergeCell ref="H39:I39"/>
    <mergeCell ref="H34:I3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47:F47"/>
    <mergeCell ref="H48:J48"/>
    <mergeCell ref="H45:J45"/>
    <mergeCell ref="E48:F48"/>
    <mergeCell ref="H41:I41"/>
    <mergeCell ref="H43:I43"/>
    <mergeCell ref="H47:J47"/>
    <mergeCell ref="E41:F41"/>
    <mergeCell ref="E46:F46"/>
    <mergeCell ref="E44:F44"/>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68" r:id="rId4" name="chk_CO2_Pipeline_Temp">
          <controlPr defaultSize="0" autoLine="0" r:id="rId5">
            <anchor moveWithCells="1">
              <from>
                <xdr:col>3</xdr:col>
                <xdr:colOff>247650</xdr:colOff>
                <xdr:row>38</xdr:row>
                <xdr:rowOff>165100</xdr:rowOff>
              </from>
              <to>
                <xdr:col>3</xdr:col>
                <xdr:colOff>1327150</xdr:colOff>
                <xdr:row>40</xdr:row>
                <xdr:rowOff>31750</xdr:rowOff>
              </to>
            </anchor>
          </controlPr>
        </control>
      </mc:Choice>
      <mc:Fallback>
        <control shapeId="17568" r:id="rId4" name="chk_CO2_Pipeline_Temp"/>
      </mc:Fallback>
    </mc:AlternateContent>
    <mc:AlternateContent xmlns:mc="http://schemas.openxmlformats.org/markup-compatibility/2006">
      <mc:Choice Requires="x14">
        <control shapeId="17567" r:id="rId6" name="chk_CO2_PipeElevation">
          <controlPr defaultSize="0" autoLine="0" r:id="rId7">
            <anchor moveWithCells="1">
              <from>
                <xdr:col>3</xdr:col>
                <xdr:colOff>241300</xdr:colOff>
                <xdr:row>35</xdr:row>
                <xdr:rowOff>165100</xdr:rowOff>
              </from>
              <to>
                <xdr:col>3</xdr:col>
                <xdr:colOff>1314450</xdr:colOff>
                <xdr:row>37</xdr:row>
                <xdr:rowOff>19050</xdr:rowOff>
              </to>
            </anchor>
          </controlPr>
        </control>
      </mc:Choice>
      <mc:Fallback>
        <control shapeId="17567" r:id="rId6" name="chk_CO2_PipeElevation"/>
      </mc:Fallback>
    </mc:AlternateContent>
    <mc:AlternateContent xmlns:mc="http://schemas.openxmlformats.org/markup-compatibility/2006">
      <mc:Choice Requires="x14">
        <control shapeId="17566" r:id="rId8" name="chk_CO2_PipeLength">
          <controlPr defaultSize="0" autoLine="0" r:id="rId9">
            <anchor moveWithCells="1">
              <from>
                <xdr:col>3</xdr:col>
                <xdr:colOff>241300</xdr:colOff>
                <xdr:row>34</xdr:row>
                <xdr:rowOff>152400</xdr:rowOff>
              </from>
              <to>
                <xdr:col>3</xdr:col>
                <xdr:colOff>1314450</xdr:colOff>
                <xdr:row>36</xdr:row>
                <xdr:rowOff>12700</xdr:rowOff>
              </to>
            </anchor>
          </controlPr>
        </control>
      </mc:Choice>
      <mc:Fallback>
        <control shapeId="17566" r:id="rId8" name="chk_CO2_PipeLength"/>
      </mc:Fallback>
    </mc:AlternateContent>
    <mc:AlternateContent xmlns:mc="http://schemas.openxmlformats.org/markup-compatibility/2006">
      <mc:Choice Requires="x14">
        <control shapeId="17565" r:id="rId10" name="chk_CO2_SurgeTank">
          <controlPr defaultSize="0" autoLine="0" r:id="rId11">
            <anchor moveWithCells="1">
              <from>
                <xdr:col>3</xdr:col>
                <xdr:colOff>241300</xdr:colOff>
                <xdr:row>33</xdr:row>
                <xdr:rowOff>152400</xdr:rowOff>
              </from>
              <to>
                <xdr:col>3</xdr:col>
                <xdr:colOff>1314450</xdr:colOff>
                <xdr:row>35</xdr:row>
                <xdr:rowOff>12700</xdr:rowOff>
              </to>
            </anchor>
          </controlPr>
        </control>
      </mc:Choice>
      <mc:Fallback>
        <control shapeId="17565" r:id="rId10" name="chk_CO2_SurgeTank"/>
      </mc:Fallback>
    </mc:AlternateContent>
    <mc:AlternateContent xmlns:mc="http://schemas.openxmlformats.org/markup-compatibility/2006">
      <mc:Choice Requires="x14">
        <control shapeId="17563" r:id="rId12" name="chk_CO2_ControlSystem">
          <controlPr defaultSize="0" autoLine="0" r:id="rId13">
            <anchor moveWithCells="1">
              <from>
                <xdr:col>3</xdr:col>
                <xdr:colOff>241300</xdr:colOff>
                <xdr:row>32</xdr:row>
                <xdr:rowOff>165100</xdr:rowOff>
              </from>
              <to>
                <xdr:col>3</xdr:col>
                <xdr:colOff>1314450</xdr:colOff>
                <xdr:row>34</xdr:row>
                <xdr:rowOff>19050</xdr:rowOff>
              </to>
            </anchor>
          </controlPr>
        </control>
      </mc:Choice>
      <mc:Fallback>
        <control shapeId="17563" r:id="rId12" name="chk_CO2_ControlSystem"/>
      </mc:Fallback>
    </mc:AlternateContent>
    <mc:AlternateContent xmlns:mc="http://schemas.openxmlformats.org/markup-compatibility/2006">
      <mc:Choice Requires="x14">
        <control shapeId="17562" r:id="rId14" name="chk_CO2_Pump_Eff">
          <controlPr defaultSize="0" autoLine="0" r:id="rId15">
            <anchor moveWithCells="1">
              <from>
                <xdr:col>3</xdr:col>
                <xdr:colOff>241300</xdr:colOff>
                <xdr:row>31</xdr:row>
                <xdr:rowOff>336550</xdr:rowOff>
              </from>
              <to>
                <xdr:col>3</xdr:col>
                <xdr:colOff>1314450</xdr:colOff>
                <xdr:row>33</xdr:row>
                <xdr:rowOff>19050</xdr:rowOff>
              </to>
            </anchor>
          </controlPr>
        </control>
      </mc:Choice>
      <mc:Fallback>
        <control shapeId="17562" r:id="rId14" name="chk_CO2_Pump_Eff"/>
      </mc:Fallback>
    </mc:AlternateContent>
    <mc:AlternateContent xmlns:mc="http://schemas.openxmlformats.org/markup-compatibility/2006">
      <mc:Choice Requires="x14">
        <control shapeId="17561" r:id="rId16" name="chk_n_CO2_pumps">
          <controlPr defaultSize="0" autoLine="0" r:id="rId17">
            <anchor moveWithCells="1">
              <from>
                <xdr:col>3</xdr:col>
                <xdr:colOff>241300</xdr:colOff>
                <xdr:row>31</xdr:row>
                <xdr:rowOff>69850</xdr:rowOff>
              </from>
              <to>
                <xdr:col>3</xdr:col>
                <xdr:colOff>1314450</xdr:colOff>
                <xdr:row>31</xdr:row>
                <xdr:rowOff>285750</xdr:rowOff>
              </to>
            </anchor>
          </controlPr>
        </control>
      </mc:Choice>
      <mc:Fallback>
        <control shapeId="17561" r:id="rId16" name="chk_n_CO2_pumps"/>
      </mc:Fallback>
    </mc:AlternateContent>
    <mc:AlternateContent xmlns:mc="http://schemas.openxmlformats.org/markup-compatibility/2006">
      <mc:Choice Requires="x14">
        <control shapeId="17452" r:id="rId18" name="chk_CO2_Capture_Efficiency">
          <controlPr defaultSize="0" autoLine="0" r:id="rId19">
            <anchor moveWithCells="1">
              <from>
                <xdr:col>3</xdr:col>
                <xdr:colOff>247650</xdr:colOff>
                <xdr:row>28</xdr:row>
                <xdr:rowOff>171450</xdr:rowOff>
              </from>
              <to>
                <xdr:col>3</xdr:col>
                <xdr:colOff>1327150</xdr:colOff>
                <xdr:row>30</xdr:row>
                <xdr:rowOff>31750</xdr:rowOff>
              </to>
            </anchor>
          </controlPr>
        </control>
      </mc:Choice>
      <mc:Fallback>
        <control shapeId="17452" r:id="rId18" name="chk_CO2_Capture_Efficiency"/>
      </mc:Fallback>
    </mc:AlternateContent>
    <mc:AlternateContent xmlns:mc="http://schemas.openxmlformats.org/markup-compatibility/2006">
      <mc:Choice Requires="x14">
        <control shapeId="17453" r:id="rId20" name="chk_CO2_MaintFactor">
          <controlPr defaultSize="0" autoLine="0" r:id="rId21">
            <anchor moveWithCells="1">
              <from>
                <xdr:col>3</xdr:col>
                <xdr:colOff>247650</xdr:colOff>
                <xdr:row>43</xdr:row>
                <xdr:rowOff>0</xdr:rowOff>
              </from>
              <to>
                <xdr:col>3</xdr:col>
                <xdr:colOff>1327150</xdr:colOff>
                <xdr:row>44</xdr:row>
                <xdr:rowOff>31750</xdr:rowOff>
              </to>
            </anchor>
          </controlPr>
        </control>
      </mc:Choice>
      <mc:Fallback>
        <control shapeId="17453" r:id="rId20" name="chk_CO2_MaintFactor"/>
      </mc:Fallback>
    </mc:AlternateContent>
    <mc:AlternateContent xmlns:mc="http://schemas.openxmlformats.org/markup-compatibility/2006">
      <mc:Choice Requires="x14">
        <control shapeId="17497" r:id="rId22" name="chk_CO2_Pin_psia">
          <controlPr defaultSize="0" autoLine="0" r:id="rId23">
            <anchor moveWithCells="1">
              <from>
                <xdr:col>3</xdr:col>
                <xdr:colOff>247650</xdr:colOff>
                <xdr:row>30</xdr:row>
                <xdr:rowOff>69850</xdr:rowOff>
              </from>
              <to>
                <xdr:col>3</xdr:col>
                <xdr:colOff>1327150</xdr:colOff>
                <xdr:row>30</xdr:row>
                <xdr:rowOff>285750</xdr:rowOff>
              </to>
            </anchor>
          </controlPr>
        </control>
      </mc:Choice>
      <mc:Fallback>
        <control shapeId="17497" r:id="rId22" name="chk_CO2_Pin_psia"/>
      </mc:Fallback>
    </mc:AlternateContent>
    <mc:AlternateContent xmlns:mc="http://schemas.openxmlformats.org/markup-compatibility/2006">
      <mc:Choice Requires="x14">
        <control shapeId="17509" r:id="rId24" name="chk_CO2_credit">
          <controlPr defaultSize="0" autoLine="0" r:id="rId25">
            <anchor moveWithCells="1">
              <from>
                <xdr:col>3</xdr:col>
                <xdr:colOff>247650</xdr:colOff>
                <xdr:row>41</xdr:row>
                <xdr:rowOff>171450</xdr:rowOff>
              </from>
              <to>
                <xdr:col>4</xdr:col>
                <xdr:colOff>76200</xdr:colOff>
                <xdr:row>43</xdr:row>
                <xdr:rowOff>31750</xdr:rowOff>
              </to>
            </anchor>
          </controlPr>
        </control>
      </mc:Choice>
      <mc:Fallback>
        <control shapeId="17509" r:id="rId24" name="chk_CO2_credi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B109" sqref="B109"/>
    </sheetView>
  </sheetViews>
  <sheetFormatPr defaultRowHeight="12.5" x14ac:dyDescent="0.25"/>
  <cols>
    <col min="2" max="2" width="28.7265625" customWidth="1"/>
    <col min="3" max="3" width="25.26953125" customWidth="1"/>
    <col min="4" max="4" width="22.7265625" customWidth="1"/>
    <col min="5" max="5" width="22.1796875" customWidth="1"/>
    <col min="6" max="6" width="20.26953125" customWidth="1"/>
    <col min="7" max="7" width="18.54296875" customWidth="1"/>
    <col min="8" max="8" width="15.7265625" customWidth="1"/>
    <col min="9" max="9" width="16.26953125" customWidth="1"/>
  </cols>
  <sheetData>
    <row r="1" spans="2:9" ht="13" thickBot="1" x14ac:dyDescent="0.3"/>
    <row r="2" spans="2:9" ht="16" thickTop="1" x14ac:dyDescent="0.35">
      <c r="B2" s="731" t="s">
        <v>1067</v>
      </c>
      <c r="C2" s="732"/>
    </row>
    <row r="3" spans="2:9" x14ac:dyDescent="0.25">
      <c r="B3" s="733" t="s">
        <v>79</v>
      </c>
      <c r="C3" s="691"/>
    </row>
    <row r="4" spans="2:9" x14ac:dyDescent="0.25">
      <c r="B4" s="733" t="s">
        <v>919</v>
      </c>
      <c r="C4" s="691"/>
    </row>
    <row r="5" spans="2:9" x14ac:dyDescent="0.25">
      <c r="B5" s="733" t="s">
        <v>394</v>
      </c>
      <c r="C5" s="691"/>
    </row>
    <row r="6" spans="2:9" x14ac:dyDescent="0.25">
      <c r="B6" s="733" t="s">
        <v>1068</v>
      </c>
      <c r="C6" s="691"/>
    </row>
    <row r="7" spans="2:9" x14ac:dyDescent="0.25">
      <c r="B7" s="733" t="s">
        <v>402</v>
      </c>
      <c r="C7" s="691"/>
    </row>
    <row r="8" spans="2:9" x14ac:dyDescent="0.25">
      <c r="B8" s="733" t="s">
        <v>535</v>
      </c>
      <c r="C8" s="691"/>
    </row>
    <row r="9" spans="2:9" x14ac:dyDescent="0.25">
      <c r="B9" s="733" t="s">
        <v>1069</v>
      </c>
      <c r="C9" s="691"/>
    </row>
    <row r="10" spans="2:9" ht="13" thickBot="1" x14ac:dyDescent="0.3">
      <c r="B10" s="734" t="s">
        <v>1070</v>
      </c>
      <c r="C10" s="735"/>
    </row>
    <row r="11" spans="2:9" ht="13" thickTop="1" x14ac:dyDescent="0.25"/>
    <row r="12" spans="2:9" ht="25" x14ac:dyDescent="0.5">
      <c r="B12" s="431" t="s">
        <v>391</v>
      </c>
      <c r="C12" s="135"/>
      <c r="D12" s="135"/>
      <c r="E12" s="53"/>
      <c r="F12" s="53"/>
      <c r="G12" s="40"/>
      <c r="H12" s="41"/>
      <c r="I12" s="134"/>
    </row>
    <row r="13" spans="2:9" ht="13" x14ac:dyDescent="0.3">
      <c r="D13" s="135"/>
      <c r="E13" s="136"/>
      <c r="F13" s="53"/>
      <c r="G13" s="40"/>
      <c r="H13" s="41"/>
      <c r="I13" s="134"/>
    </row>
    <row r="14" spans="2:9" ht="22.5" thickBot="1" x14ac:dyDescent="0.7">
      <c r="B14" s="316" t="s">
        <v>392</v>
      </c>
      <c r="D14" s="135"/>
      <c r="E14" s="53"/>
      <c r="F14" s="53"/>
      <c r="G14" s="40"/>
      <c r="H14" s="41"/>
      <c r="I14" s="134"/>
    </row>
    <row r="15" spans="2:9" ht="16" thickBot="1" x14ac:dyDescent="0.4">
      <c r="B15" s="1041" t="s">
        <v>1095</v>
      </c>
      <c r="C15" s="1042">
        <f ca="1">total_cap/(ProcEqpCap+CCSEqpCap)</f>
        <v>2.7324517095122727</v>
      </c>
      <c r="D15" s="135"/>
      <c r="E15" s="53"/>
      <c r="F15" s="53"/>
      <c r="G15" s="40"/>
      <c r="H15" s="41"/>
      <c r="I15" s="134"/>
    </row>
    <row r="16" spans="2:9" ht="13.5" thickBot="1" x14ac:dyDescent="0.3">
      <c r="B16" s="53"/>
      <c r="C16" s="53"/>
      <c r="D16" s="53"/>
      <c r="E16" s="53"/>
      <c r="F16" s="53"/>
      <c r="G16" s="40"/>
      <c r="H16" s="41"/>
      <c r="I16" s="134"/>
    </row>
    <row r="17" spans="2:9" ht="16.5" thickTop="1" thickBot="1" x14ac:dyDescent="0.4">
      <c r="B17" s="49" t="s">
        <v>79</v>
      </c>
      <c r="C17" s="149"/>
      <c r="D17" s="150"/>
      <c r="E17" s="53"/>
      <c r="F17" s="1634" t="str">
        <f>IF(CO2_inUse = "Carbon Sequestration","Approximate Carbon Sequestration Costs*","Carbon Sequestration is not included in this case")</f>
        <v>Approximate Carbon Sequestration Costs*</v>
      </c>
      <c r="G17" s="1635"/>
      <c r="H17" s="1636"/>
      <c r="I17" s="134"/>
    </row>
    <row r="18" spans="2:9" ht="56.5" thickTop="1" x14ac:dyDescent="0.3">
      <c r="B18" s="152" t="s">
        <v>80</v>
      </c>
      <c r="C18" s="56" t="s">
        <v>81</v>
      </c>
      <c r="D18" s="430" t="s">
        <v>82</v>
      </c>
      <c r="E18" s="53"/>
      <c r="F18" s="1277" t="s">
        <v>80</v>
      </c>
      <c r="G18" s="1278" t="s">
        <v>2</v>
      </c>
      <c r="H18" s="1279" t="s">
        <v>3</v>
      </c>
      <c r="I18" s="134"/>
    </row>
    <row r="19" spans="2:9" ht="14" x14ac:dyDescent="0.3">
      <c r="B19" s="629" t="s">
        <v>83</v>
      </c>
      <c r="C19" s="838">
        <f ca="1">'Cash Flow Analysis'!D119</f>
        <v>0.15494700476306994</v>
      </c>
      <c r="D19" s="153">
        <f ca="1">'Cash Flow Analysis'!C119</f>
        <v>0.13493125580764168</v>
      </c>
      <c r="E19" s="53"/>
      <c r="F19" s="1280" t="s">
        <v>83</v>
      </c>
      <c r="G19" s="1281">
        <f ca="1">IF(CO2_inUse = "Carbon Sequestration",ROUND((Det_CO2_seq+CO2_aprx_indCap)*CO2_cap_charge_rate/output_kgyear,2),"")</f>
        <v>0</v>
      </c>
      <c r="H19" s="1282" t="e">
        <f ca="1">IF(CO2_inUse = "Carbon Sequestration",CO2_capptonneCO2,"")</f>
        <v>#DIV/0!</v>
      </c>
      <c r="I19" s="134"/>
    </row>
    <row r="20" spans="2:9" ht="14" x14ac:dyDescent="0.3">
      <c r="B20" s="629" t="s">
        <v>84</v>
      </c>
      <c r="C20" s="234">
        <f ca="1">'Cash Flow Analysis'!D120</f>
        <v>7.9899639237872723E-4</v>
      </c>
      <c r="D20" s="154">
        <f ca="1">'Cash Flow Analysis'!C120</f>
        <v>6.9578361178577759E-4</v>
      </c>
      <c r="E20" s="53"/>
      <c r="F20" s="1280" t="s">
        <v>4</v>
      </c>
      <c r="G20" s="1281">
        <f ca="1">IF(CO2_inUse = "Carbon Sequestration",ROUND(Det_CO2_OandMcost/output_kgyear,2),"")</f>
        <v>0</v>
      </c>
      <c r="H20" s="1282" t="e">
        <f ca="1">IF(CO2_inUse = "Carbon Sequestration",CO2_OandMptonneCO2,"")</f>
        <v>#DIV/0!</v>
      </c>
      <c r="I20" s="134"/>
    </row>
    <row r="21" spans="2:9" ht="14" x14ac:dyDescent="0.3">
      <c r="B21" s="629" t="s">
        <v>85</v>
      </c>
      <c r="C21" s="234">
        <f ca="1">'Cash Flow Analysis'!D121</f>
        <v>7.2865532650274817E-2</v>
      </c>
      <c r="D21" s="154">
        <f ca="1">'Cash Flow Analysis'!C121</f>
        <v>6.3452906628483713E-2</v>
      </c>
      <c r="E21" s="53"/>
      <c r="F21" s="1280" t="s">
        <v>5</v>
      </c>
      <c r="G21" s="1281">
        <f ca="1">IF(CO2_inUse = "Carbon Sequestration",ROUND(CO2_eCostpY/output_kgyear,2),"")</f>
        <v>0</v>
      </c>
      <c r="H21" s="1282" t="e">
        <f ca="1">IF(CO2_inUse = "Carbon Sequestration",CO2_energyptonneCO2,"")</f>
        <v>#DIV/0!</v>
      </c>
      <c r="I21" s="134"/>
    </row>
    <row r="22" spans="2:9" ht="14.5" thickBot="1" x14ac:dyDescent="0.35">
      <c r="B22" s="629" t="s">
        <v>1004</v>
      </c>
      <c r="C22" s="234">
        <f ca="1">'Cash Flow Analysis'!D122</f>
        <v>0.82763314128326682</v>
      </c>
      <c r="D22" s="154">
        <f ca="1">'Cash Flow Analysis'!C122</f>
        <v>0.72072112185798631</v>
      </c>
      <c r="E22" s="53"/>
      <c r="F22" s="1283" t="s">
        <v>58</v>
      </c>
      <c r="G22" s="1284">
        <f ca="1">SUM(G19:G21)</f>
        <v>0</v>
      </c>
      <c r="H22" s="1285" t="e">
        <f ca="1">SUM(H19:H21)</f>
        <v>#DIV/0!</v>
      </c>
      <c r="I22" s="134"/>
    </row>
    <row r="23" spans="2:9" ht="27" customHeight="1" thickTop="1" x14ac:dyDescent="0.25">
      <c r="B23" s="629" t="s">
        <v>86</v>
      </c>
      <c r="C23" s="234">
        <f ca="1">'Cash Flow Analysis'!D123</f>
        <v>0</v>
      </c>
      <c r="D23" s="154">
        <f ca="1">'Cash Flow Analysis'!C123</f>
        <v>0</v>
      </c>
      <c r="E23" s="53"/>
      <c r="F23" s="1637" t="s">
        <v>6</v>
      </c>
      <c r="G23" s="1637"/>
      <c r="H23" s="1637"/>
      <c r="I23" s="134"/>
    </row>
    <row r="24" spans="2:9" x14ac:dyDescent="0.25">
      <c r="B24" s="629" t="s">
        <v>87</v>
      </c>
      <c r="C24" s="234">
        <f ca="1">'Cash Flow Analysis'!D124</f>
        <v>0</v>
      </c>
      <c r="D24" s="154">
        <f ca="1">'Cash Flow Analysis'!C124</f>
        <v>0</v>
      </c>
      <c r="E24" s="53"/>
      <c r="F24" s="53"/>
      <c r="I24" s="134"/>
    </row>
    <row r="25" spans="2:9" ht="25" x14ac:dyDescent="0.25">
      <c r="B25" s="630" t="s">
        <v>88</v>
      </c>
      <c r="C25" s="234">
        <f ca="1">'Cash Flow Analysis'!D125</f>
        <v>9.2095669300620811E-2</v>
      </c>
      <c r="D25" s="154">
        <f ca="1">'Cash Flow Analysis'!C125</f>
        <v>8.0198932094102601E-2</v>
      </c>
      <c r="E25" s="53"/>
      <c r="F25" s="53"/>
      <c r="I25" s="134"/>
    </row>
    <row r="26" spans="2:9" ht="13.5" thickBot="1" x14ac:dyDescent="0.35">
      <c r="B26" s="631" t="s">
        <v>58</v>
      </c>
      <c r="C26" s="839">
        <f ca="1">SUM(C19:C25)</f>
        <v>1.148340344389611</v>
      </c>
      <c r="D26" s="570"/>
      <c r="E26" s="53"/>
      <c r="F26" s="53"/>
      <c r="I26" s="134"/>
    </row>
    <row r="27" spans="2:9" ht="13.5" thickTop="1" x14ac:dyDescent="0.25">
      <c r="B27" s="53"/>
      <c r="C27" s="53"/>
      <c r="D27" s="143"/>
      <c r="E27" s="53"/>
      <c r="F27" s="53"/>
      <c r="I27" s="134"/>
    </row>
    <row r="28" spans="2:9" ht="22" x14ac:dyDescent="0.65">
      <c r="B28" s="316" t="s">
        <v>393</v>
      </c>
      <c r="C28" s="53"/>
      <c r="D28" s="41"/>
      <c r="E28" s="53"/>
      <c r="F28" s="53"/>
      <c r="G28" s="53"/>
      <c r="H28" s="53"/>
      <c r="I28" s="134"/>
    </row>
    <row r="29" spans="2:9" ht="13" thickBot="1" x14ac:dyDescent="0.3">
      <c r="I29" s="134"/>
    </row>
    <row r="30" spans="2:9" ht="16.5" thickTop="1" thickBot="1" x14ac:dyDescent="0.4">
      <c r="B30" s="1626" t="s">
        <v>919</v>
      </c>
      <c r="C30" s="1627"/>
      <c r="D30" s="613"/>
      <c r="E30" s="613"/>
      <c r="F30" s="613"/>
      <c r="G30" s="614"/>
      <c r="H30" s="614"/>
      <c r="I30" s="618"/>
    </row>
    <row r="31" spans="2:9" ht="42.5" thickBot="1" x14ac:dyDescent="0.3">
      <c r="B31" s="619" t="s">
        <v>248</v>
      </c>
      <c r="C31" s="620" t="s">
        <v>923</v>
      </c>
      <c r="D31" s="620" t="s">
        <v>918</v>
      </c>
      <c r="E31" s="621" t="s">
        <v>708</v>
      </c>
      <c r="F31" s="621" t="s">
        <v>264</v>
      </c>
      <c r="G31" s="621" t="s">
        <v>917</v>
      </c>
      <c r="H31" s="621" t="s">
        <v>934</v>
      </c>
      <c r="I31" s="622" t="s">
        <v>1193</v>
      </c>
    </row>
    <row r="32" spans="2:9" x14ac:dyDescent="0.25">
      <c r="B32" s="708" t="str">
        <f>IF('Cash Flow Analysis'!$B$131=0,"",'Cash Flow Analysis'!$B$131)</f>
        <v>Industrial Natural Gas</v>
      </c>
      <c r="C32" s="709">
        <f ca="1">IF($B$32="","",$E$32*$F$32*$H$32)</f>
        <v>0.16484374999999998</v>
      </c>
      <c r="D32" s="709">
        <f ca="1">IF($B32="","",$C32*1000*MJ_to_kWh)</f>
        <v>45.78993055555555</v>
      </c>
      <c r="E32" s="710">
        <f ca="1">IF($B$32&lt;&gt;"",VLOOKUP($B$32,MASTER_PROPERTY_TABLE,MATCH("H2A LHV (GJ/ H2A usage input unit)",key_MPTable,0),FALSE),"")</f>
        <v>1.0549999999999999</v>
      </c>
      <c r="F32" s="710">
        <f ca="1">IF('Cash Flow Analysis'!$B$133="","",'Cash Flow Analysis'!$B$133)</f>
        <v>0.15625</v>
      </c>
      <c r="G32" s="711" t="str">
        <f ca="1">IF($B$32&lt;&gt;"",VLOOKUP($B$32,MASTER_PROPERTY_TABLE,MATCH("H2A Usage Input Unit/ kg H2",key_MPTable,0),FALSE),"")</f>
        <v>mmBtu</v>
      </c>
      <c r="H32" s="711">
        <f ca="1">IF($B32="","",IF(VLOOKUP($B32,MASTER_PROPERTY_TABLE,MATCH("Unit System",key_MPTable,0),FALSE)="English",mmBTU_to_GJ,1))</f>
        <v>1</v>
      </c>
      <c r="I32" s="1226">
        <f ca="1">+'Cash Flow Analysis'!$B$233</f>
        <v>5.6045454960904868</v>
      </c>
    </row>
    <row r="33" spans="2:9" x14ac:dyDescent="0.25">
      <c r="B33" s="662" t="str">
        <f>IF('Cash Flow Analysis'!$C$131=0,"",'Cash Flow Analysis'!$C$131)</f>
        <v/>
      </c>
      <c r="C33" s="712" t="str">
        <f>IF($B$33="","",$E$33*$F$33*$H$33)</f>
        <v/>
      </c>
      <c r="D33" s="712" t="str">
        <f>IF($B33="","",$C33*1000*MJ_to_kWh)</f>
        <v/>
      </c>
      <c r="E33" s="666" t="str">
        <f>IF($B$33&lt;&gt;"",VLOOKUP($B$33,MASTER_PROPERTY_TABLE,MATCH("H2A LHV (GJ/ H2A usage input unit)",key_MPTable,0),FALSE),"")</f>
        <v/>
      </c>
      <c r="F33" s="666" t="str">
        <f>IF('Cash Flow Analysis'!$C$133="","",'Cash Flow Analysis'!$C$133)</f>
        <v/>
      </c>
      <c r="G33" s="713" t="str">
        <f>IF($B$33&lt;&gt;"",VLOOKUP($B$33,MASTER_PROPERTY_TABLE,MATCH("H2A Usage Input Unit/ kg H2",key_MPTable,0),FALSE),"")</f>
        <v/>
      </c>
      <c r="H33" s="713" t="str">
        <f>IF($B$33="","",IF(VLOOKUP($B$33,MASTER_PROPERTY_TABLE,MATCH("Unit System",key_MPTable,0),FALSE)="English",mmBTU_to_GJ,1))</f>
        <v/>
      </c>
      <c r="I33" s="1227" t="str">
        <f>+'Cash Flow Analysis'!$C$233</f>
        <v/>
      </c>
    </row>
    <row r="34" spans="2:9" x14ac:dyDescent="0.25">
      <c r="B34" s="662" t="str">
        <f>IF('Cash Flow Analysis'!$D$131=0,"",'Cash Flow Analysis'!$D$131)</f>
        <v/>
      </c>
      <c r="C34" s="712" t="str">
        <f>IF($B$34="","",$E$34*$F$34*$H$34)</f>
        <v/>
      </c>
      <c r="D34" s="712" t="str">
        <f>IF($B34="","",$C34*1000*MJ_to_kWh)</f>
        <v/>
      </c>
      <c r="E34" s="666" t="str">
        <f>IF($B$34&lt;&gt;"",VLOOKUP($B$34,MASTER_PROPERTY_TABLE,MATCH("H2A LHV (GJ/ H2A usage input unit)",key_MPTable,0),FALSE),"")</f>
        <v/>
      </c>
      <c r="F34" s="666" t="str">
        <f>IF('Cash Flow Analysis'!$D$133="","",'Cash Flow Analysis'!$D$133)</f>
        <v/>
      </c>
      <c r="G34" s="713" t="str">
        <f>IF($B$34&lt;&gt;"",VLOOKUP($B$34,MASTER_PROPERTY_TABLE,MATCH("H2A Usage Input Unit/ kg H2",key_MPTable,0),FALSE),"")</f>
        <v/>
      </c>
      <c r="H34" s="713" t="str">
        <f>IF($B$34="","",IF(VLOOKUP($B$34,MASTER_PROPERTY_TABLE,MATCH("Unit System",key_MPTable,0),FALSE)="English",mmBTU_to_GJ,1))</f>
        <v/>
      </c>
      <c r="I34" s="1227" t="str">
        <f>+'Cash Flow Analysis'!$D$233</f>
        <v/>
      </c>
    </row>
    <row r="35" spans="2:9" ht="13" thickBot="1" x14ac:dyDescent="0.3">
      <c r="B35" s="715" t="str">
        <f>IF('Cash Flow Analysis'!$E$131=0,"",'Cash Flow Analysis'!$E$131)</f>
        <v/>
      </c>
      <c r="C35" s="716" t="str">
        <f>IF($B$35="","",$E$35*$F$35*$H$35)</f>
        <v/>
      </c>
      <c r="D35" s="716" t="str">
        <f>IF($B35="","",$C35*1000*MJ_to_kWh)</f>
        <v/>
      </c>
      <c r="E35" s="717" t="str">
        <f>IF($B$35&lt;&gt;"",VLOOKUP($B$35,MASTER_PROPERTY_TABLE,MATCH("H2A LHV (GJ/ H2A usage input unit)",key_MPTable,0),FALSE),"")</f>
        <v/>
      </c>
      <c r="F35" s="717" t="str">
        <f>IF('Cash Flow Analysis'!$E$133="","",'Cash Flow Analysis'!$E$133)</f>
        <v/>
      </c>
      <c r="G35" s="718" t="str">
        <f>IF($B$35&lt;&gt;"",VLOOKUP($B$35,MASTER_PROPERTY_TABLE,MATCH("H2A Usage Input Unit/ kg H2",key_MPTable,0),FALSE),"")</f>
        <v/>
      </c>
      <c r="H35" s="718" t="str">
        <f>IF($B$35="","",IF(VLOOKUP($B$35,MASTER_PROPERTY_TABLE,MATCH("Unit System",key_MPTable,0),FALSE)="English",mmBTU_to_GJ,1))</f>
        <v/>
      </c>
      <c r="I35" s="1228" t="str">
        <f>+'Cash Flow Analysis'!$E$233</f>
        <v/>
      </c>
    </row>
    <row r="36" spans="2:9" ht="14" x14ac:dyDescent="0.3">
      <c r="B36" s="719" t="s">
        <v>271</v>
      </c>
      <c r="C36" s="720"/>
      <c r="D36" s="720"/>
      <c r="E36" s="626"/>
      <c r="F36" s="626"/>
      <c r="G36" s="627"/>
      <c r="H36" s="627"/>
      <c r="I36" s="1229"/>
    </row>
    <row r="37" spans="2:9" x14ac:dyDescent="0.25">
      <c r="B37" s="662" t="str">
        <f>IF('Cash Flow Analysis'!$F$131=0,"",'Cash Flow Analysis'!$F$131)</f>
        <v>Industrial Electricity</v>
      </c>
      <c r="C37" s="712">
        <f ca="1">IF($B$37="","",$E$37*$F$37*$H$37)</f>
        <v>2.0483999999999997E-3</v>
      </c>
      <c r="D37" s="712">
        <f ca="1">IF($B37="","",$C37*1000*MJ_to_kWh)</f>
        <v>0.56899999999999995</v>
      </c>
      <c r="E37" s="666">
        <f ca="1">IF($B37&lt;&gt;"",VLOOKUP($B37,MASTER_PROPERTY_TABLE,MATCH("H2A LHV (GJ/ H2A usage input unit)",key_MPTable,0),FALSE),"")</f>
        <v>3.5999999999999995E-3</v>
      </c>
      <c r="F37" s="666">
        <f ca="1">IF('Cash Flow Analysis'!$F$133="","",'Cash Flow Analysis'!$F$133)</f>
        <v>0.56899999999999995</v>
      </c>
      <c r="G37" s="713" t="str">
        <f ca="1">IF($B$37&lt;&gt;"",VLOOKUP($B$37,MASTER_PROPERTY_TABLE,MATCH("H2A Usage Input Unit/ kg H2",key_MPTable,0),FALSE),"")</f>
        <v>kWh</v>
      </c>
      <c r="H37" s="713">
        <f ca="1">IF($B$37="","",IF(VLOOKUP($B$37,MASTER_PROPERTY_TABLE,MATCH("Unit System",key_MPTable,0),FALSE)="English",mmBTU_to_GJ,1))</f>
        <v>1</v>
      </c>
      <c r="I37" s="1227">
        <f ca="1">+'Cash Flow Analysis'!$F$233</f>
        <v>7.9502245341356123E-2</v>
      </c>
    </row>
    <row r="38" spans="2:9" x14ac:dyDescent="0.25">
      <c r="B38" s="662" t="str">
        <f>IF('Cash Flow Analysis'!$G$131=0,"",'Cash Flow Analysis'!$G$131)</f>
        <v/>
      </c>
      <c r="C38" s="712" t="str">
        <f>IF($B$38="","",$E$38*$F$38*$H$38)</f>
        <v/>
      </c>
      <c r="D38" s="712" t="str">
        <f>IF($B38="","",$C38*1000*MJ_to_kWh)</f>
        <v/>
      </c>
      <c r="E38" s="666" t="str">
        <f>IF($B38&lt;&gt;"",VLOOKUP($B38,MASTER_PROPERTY_TABLE,MATCH("H2A LHV (GJ/ H2A usage input unit)",key_MPTable,0),FALSE),"")</f>
        <v/>
      </c>
      <c r="F38" s="666" t="str">
        <f>IF('Cash Flow Analysis'!$G$133="","",'Cash Flow Analysis'!$G$133)</f>
        <v/>
      </c>
      <c r="G38" s="713" t="str">
        <f>IF($B$38&lt;&gt;"",VLOOKUP($B$38,MASTER_PROPERTY_TABLE,MATCH("H2A Usage Input Unit/ kg H2",key_MPTable,0),FALSE),"")</f>
        <v/>
      </c>
      <c r="H38" s="713" t="str">
        <f>IF($B$38="","",IF(VLOOKUP($B$38,MASTER_PROPERTY_TABLE,MATCH("Unit System",key_MPTable,0),FALSE)="English",mmBTU_to_GJ,1))</f>
        <v/>
      </c>
      <c r="I38" s="1227" t="str">
        <f>+'Cash Flow Analysis'!$G$233</f>
        <v/>
      </c>
    </row>
    <row r="39" spans="2:9" x14ac:dyDescent="0.25">
      <c r="B39" s="662" t="str">
        <f>IF('Cash Flow Analysis'!$H$131=0,"",'Cash Flow Analysis'!$H$131)</f>
        <v/>
      </c>
      <c r="C39" s="712" t="str">
        <f>IF($B$39="","",$E$39*$F$39*$H$39)</f>
        <v/>
      </c>
      <c r="D39" s="712" t="str">
        <f>IF($B39="","",$C39*1000*MJ_to_kWh)</f>
        <v/>
      </c>
      <c r="E39" s="666" t="str">
        <f>IF($B39&lt;&gt;"",VLOOKUP($B39,MASTER_PROPERTY_TABLE,MATCH("H2A LHV (GJ/ H2A usage input unit)",key_MPTable,0),FALSE),"")</f>
        <v/>
      </c>
      <c r="F39" s="666" t="str">
        <f>IF('Cash Flow Analysis'!$H$133="","",'Cash Flow Analysis'!$H$133)</f>
        <v/>
      </c>
      <c r="G39" s="713" t="str">
        <f>IF($B$39&lt;&gt;"",VLOOKUP($B$39,MASTER_PROPERTY_TABLE,MATCH("H2A Usage Input Unit/ kg H2",key_MPTable,0),FALSE),"")</f>
        <v/>
      </c>
      <c r="H39" s="713" t="str">
        <f>IF($B$39="","",IF(VLOOKUP($B$39,MASTER_PROPERTY_TABLE,MATCH("Unit System",key_MPTable,0),FALSE)="English",mmBTU_to_GJ,1))</f>
        <v/>
      </c>
      <c r="I39" s="1227" t="str">
        <f>+'Cash Flow Analysis'!$H$233</f>
        <v/>
      </c>
    </row>
    <row r="40" spans="2:9" ht="13" thickBot="1" x14ac:dyDescent="0.3">
      <c r="B40" s="715" t="str">
        <f>IF('Cash Flow Analysis'!$I$131=0,"",'Cash Flow Analysis'!$I$131)</f>
        <v/>
      </c>
      <c r="C40" s="716" t="str">
        <f>IF($B$40="","",$E$40*$F$40*$H$40)</f>
        <v/>
      </c>
      <c r="D40" s="716" t="str">
        <f>IF($B40="","",$C40*1000*MJ_to_kWh)</f>
        <v/>
      </c>
      <c r="E40" s="717" t="str">
        <f>IF($B40&lt;&gt;"",VLOOKUP($B40,MASTER_PROPERTY_TABLE,MATCH("H2A LHV (GJ/ H2A usage input unit)",key_MPTable,0),FALSE),"")</f>
        <v/>
      </c>
      <c r="F40" s="717" t="str">
        <f>IF('Cash Flow Analysis'!$I$133="","",'Cash Flow Analysis'!$I$133)</f>
        <v/>
      </c>
      <c r="G40" s="718" t="str">
        <f>IF($B$40&lt;&gt;"",VLOOKUP($B$40,MASTER_PROPERTY_TABLE,MATCH("H2A Usage Input Unit/ kg H2",key_MPTable,0),FALSE),"")</f>
        <v/>
      </c>
      <c r="H40" s="718" t="str">
        <f>IF($B$40="","",IF(VLOOKUP($B$40,MASTER_PROPERTY_TABLE,MATCH("Unit System",key_MPTable,0),FALSE)="English",mmBTU_to_GJ,1))</f>
        <v/>
      </c>
      <c r="I40" s="1228" t="str">
        <f>+'Cash Flow Analysis'!$I$233</f>
        <v/>
      </c>
    </row>
    <row r="41" spans="2:9" ht="14" x14ac:dyDescent="0.3">
      <c r="B41" s="719" t="s">
        <v>400</v>
      </c>
      <c r="C41" s="720"/>
      <c r="D41" s="720"/>
      <c r="E41" s="626"/>
      <c r="F41" s="626"/>
      <c r="G41" s="627"/>
      <c r="H41" s="627"/>
      <c r="I41" s="628"/>
    </row>
    <row r="42" spans="2:9" ht="13" thickBot="1" x14ac:dyDescent="0.3">
      <c r="B42" s="615" t="str">
        <f ca="1">IF('Cash Flow Analysis'!$J$131=0,"",'Cash Flow Analysis'!$J$131)</f>
        <v/>
      </c>
      <c r="C42" s="684" t="str">
        <f ca="1">IF($B$42="","",$E$42*$F$42*$H$42)</f>
        <v/>
      </c>
      <c r="D42" s="684" t="str">
        <f ca="1">IF($B42="","",$C42*1000*MJ_to_kWh)</f>
        <v/>
      </c>
      <c r="E42" s="625" t="str">
        <f ca="1">IF($B42&lt;&gt;"",VLOOKUP($B42,MASTER_PROPERTY_TABLE,MATCH("H2A LHV (GJ/ H2A usage input unit)",key_MPTable,0),FALSE),"")</f>
        <v/>
      </c>
      <c r="F42" s="625">
        <f ca="1">CO2_CashFlow_eUse</f>
        <v>0</v>
      </c>
      <c r="G42" s="623" t="str">
        <f ca="1">IF($B$42&lt;&gt;"",VLOOKUP($B$42,MASTER_PROPERTY_TABLE,MATCH("H2A Usage Input Unit/ kg H2",key_MPTable,0),FALSE),"")</f>
        <v/>
      </c>
      <c r="H42" s="623" t="str">
        <f ca="1">IF($B42="","",IF(VLOOKUP($B42,MASTER_PROPERTY_TABLE,MATCH("Unit System",key_MPTable,0),FALSE)="English",mmBTU_to_GJ,1))</f>
        <v/>
      </c>
      <c r="I42" s="624"/>
    </row>
    <row r="43" spans="2:9" ht="43" thickTop="1" thickBot="1" x14ac:dyDescent="0.35">
      <c r="B43" s="703"/>
      <c r="C43" s="704" t="s">
        <v>924</v>
      </c>
      <c r="D43" s="705" t="s">
        <v>1001</v>
      </c>
      <c r="E43" s="706" t="s">
        <v>708</v>
      </c>
      <c r="F43" s="704" t="s">
        <v>916</v>
      </c>
      <c r="G43" s="706" t="s">
        <v>917</v>
      </c>
      <c r="H43" s="706" t="s">
        <v>934</v>
      </c>
      <c r="I43" s="707"/>
    </row>
    <row r="44" spans="2:9" ht="13" x14ac:dyDescent="0.3">
      <c r="B44" s="616" t="s">
        <v>925</v>
      </c>
      <c r="C44" s="684">
        <f>kgH2_to_GJ</f>
        <v>0.12021163829516093</v>
      </c>
      <c r="D44" s="684">
        <f>IF($B44="","",$C44*1000*MJ_to_kWh)</f>
        <v>33.392121748655818</v>
      </c>
      <c r="E44" s="625">
        <f>kgH2_to_GJ</f>
        <v>0.12021163829516093</v>
      </c>
      <c r="F44" s="625">
        <v>1</v>
      </c>
      <c r="G44" s="623" t="s">
        <v>268</v>
      </c>
      <c r="H44" s="623">
        <v>1</v>
      </c>
      <c r="I44" s="624"/>
    </row>
    <row r="45" spans="2:9" ht="13.5" thickBot="1" x14ac:dyDescent="0.35">
      <c r="B45" s="616"/>
      <c r="C45" s="685"/>
      <c r="D45" s="685"/>
      <c r="E45" s="625"/>
      <c r="F45" s="625"/>
      <c r="G45" s="623"/>
      <c r="H45" s="623"/>
      <c r="I45" s="624"/>
    </row>
    <row r="46" spans="2:9" ht="14" x14ac:dyDescent="0.3">
      <c r="B46" s="719" t="s">
        <v>920</v>
      </c>
      <c r="C46" s="720"/>
      <c r="D46" s="720"/>
      <c r="E46" s="626"/>
      <c r="F46" s="626"/>
      <c r="G46" s="627"/>
      <c r="H46" s="627"/>
      <c r="I46" s="628"/>
    </row>
    <row r="47" spans="2:9" x14ac:dyDescent="0.25">
      <c r="B47" s="662" t="str">
        <f>IF('Cash Flow Analysis'!$K$131=0,"",'Cash Flow Analysis'!$K$131)</f>
        <v/>
      </c>
      <c r="C47" s="712" t="str">
        <f>IF($B$47="","",$E$47*$F$47*$H$47)</f>
        <v/>
      </c>
      <c r="D47" s="712" t="str">
        <f>IF($B47="","",$C47*1000*MJ_to_kWh)</f>
        <v/>
      </c>
      <c r="E47" s="666" t="str">
        <f>IF($B47&lt;&gt;"",VLOOKUP($B47,MASTER_PROPERTY_TABLE,MATCH("H2A LHV (GJ/ H2A usage input unit)",key_MPTable,0),FALSE),"")</f>
        <v/>
      </c>
      <c r="F47" s="666" t="str">
        <f>IF('Cash Flow Analysis'!$K$133="","",'Cash Flow Analysis'!$K$133)</f>
        <v/>
      </c>
      <c r="G47" s="713" t="str">
        <f>IF($B$47&lt;&gt;"",VLOOKUP($B$47,MASTER_PROPERTY_TABLE,MATCH("H2A Usage Input Unit/ kg H2",key_MPTable,0),FALSE),"")</f>
        <v/>
      </c>
      <c r="H47" s="713" t="str">
        <f>IF($B$47="","",IF(VLOOKUP($B$47,MASTER_PROPERTY_TABLE,MATCH("Unit System",key_MPTable,0),FALSE)="English",mmBTU_to_GJ,1))</f>
        <v/>
      </c>
      <c r="I47" s="714" t="str">
        <f>+'Cash Flow Analysis'!$K$233</f>
        <v/>
      </c>
    </row>
    <row r="48" spans="2:9" x14ac:dyDescent="0.25">
      <c r="B48" s="662" t="str">
        <f>IF('Cash Flow Analysis'!$L$131=0,"",'Cash Flow Analysis'!$L$131)</f>
        <v/>
      </c>
      <c r="C48" s="712" t="str">
        <f>IF($B$48="","",$E$48*$F$48*$H$48)</f>
        <v/>
      </c>
      <c r="D48" s="712" t="str">
        <f>IF($B48="","",$C48*1000*MJ_to_kWh)</f>
        <v/>
      </c>
      <c r="E48" s="666" t="str">
        <f>IF($B48&lt;&gt;"",VLOOKUP($B48,MASTER_PROPERTY_TABLE,MATCH("H2A LHV (GJ/ H2A usage input unit)",key_MPTable,0),FALSE),"")</f>
        <v/>
      </c>
      <c r="F48" s="666" t="str">
        <f>IF('Cash Flow Analysis'!$L$133="","",'Cash Flow Analysis'!$L$133)</f>
        <v/>
      </c>
      <c r="G48" s="713" t="str">
        <f>IF($B$48&lt;&gt;"",VLOOKUP($B$48,MASTER_PROPERTY_TABLE,MATCH("H2A Usage Input Unit/ kg H2",key_MPTable,0),FALSE),"")</f>
        <v/>
      </c>
      <c r="H48" s="713" t="str">
        <f>IF($B$48="","",IF(VLOOKUP($B$48,MASTER_PROPERTY_TABLE,MATCH("Unit System",key_MPTable,0),FALSE)="English",mmBTU_to_GJ,1))</f>
        <v/>
      </c>
      <c r="I48" s="714" t="str">
        <f>+'Cash Flow Analysis'!$L$233</f>
        <v/>
      </c>
    </row>
    <row r="49" spans="2:9" x14ac:dyDescent="0.25">
      <c r="B49" s="662" t="str">
        <f>IF('Cash Flow Analysis'!$M$131=0,"",'Cash Flow Analysis'!$M$131)</f>
        <v/>
      </c>
      <c r="C49" s="712" t="str">
        <f>IF($B$49="","",$E$49*$F$49*$H$49)</f>
        <v/>
      </c>
      <c r="D49" s="712" t="str">
        <f>IF($B49="","",$C49*1000*MJ_to_kWh)</f>
        <v/>
      </c>
      <c r="E49" s="666" t="str">
        <f>IF($B49&lt;&gt;"",VLOOKUP($B49,MASTER_PROPERTY_TABLE,MATCH("H2A LHV (GJ/ H2A usage input unit)",key_MPTable,0),FALSE),"")</f>
        <v/>
      </c>
      <c r="F49" s="666" t="str">
        <f>IF('Cash Flow Analysis'!$M$133="","",'Cash Flow Analysis'!$M$133)</f>
        <v/>
      </c>
      <c r="G49" s="713" t="str">
        <f>IF($B$49&lt;&gt;"",VLOOKUP($B$49,MASTER_PROPERTY_TABLE,MATCH("H2A Usage Input Unit/ kg H2",key_MPTable,0),FALSE),"")</f>
        <v/>
      </c>
      <c r="H49" s="713" t="str">
        <f>IF($B$49="","",IF(VLOOKUP($B$49,MASTER_PROPERTY_TABLE,MATCH("Unit System",key_MPTable,0),FALSE)="English",mmBTU_to_GJ,1))</f>
        <v/>
      </c>
      <c r="I49" s="714" t="str">
        <f>+'Cash Flow Analysis'!$M$233</f>
        <v/>
      </c>
    </row>
    <row r="50" spans="2:9" ht="13" thickBot="1" x14ac:dyDescent="0.3">
      <c r="B50" s="663" t="str">
        <f>IF('Cash Flow Analysis'!$N$131=0,"",'Cash Flow Analysis'!$N$131)</f>
        <v/>
      </c>
      <c r="C50" s="721" t="str">
        <f>IF($B$50="","",$E$50*$F$50*$H$50)</f>
        <v/>
      </c>
      <c r="D50" s="721" t="str">
        <f>IF($B50="","",$C50*1000*MJ_to_kWh)</f>
        <v/>
      </c>
      <c r="E50" s="677" t="str">
        <f>IF($B50&lt;&gt;"",VLOOKUP($B50,MASTER_PROPERTY_TABLE,MATCH("H2A LHV (GJ/ H2A usage input unit)",key_MPTable,0),FALSE),"")</f>
        <v/>
      </c>
      <c r="F50" s="677" t="str">
        <f>IF('Cash Flow Analysis'!$N$133="","",'Cash Flow Analysis'!$N$133)</f>
        <v/>
      </c>
      <c r="G50" s="722" t="str">
        <f>IF($B$50&lt;&gt;"",VLOOKUP($B$50,MASTER_PROPERTY_TABLE,MATCH("H2A Usage Input Unit/ kg H2",key_MPTable,0),FALSE),"")</f>
        <v/>
      </c>
      <c r="H50" s="722" t="str">
        <f>IF($B$50="","",IF(VLOOKUP($B$50,MASTER_PROPERTY_TABLE,MATCH("Unit System",key_MPTable,0),FALSE)="English",mmBTU_to_GJ,1))</f>
        <v/>
      </c>
      <c r="I50" s="723" t="str">
        <f>+'Cash Flow Analysis'!$N$233</f>
        <v/>
      </c>
    </row>
    <row r="51" spans="2:9" ht="13.5" thickTop="1" thickBot="1" x14ac:dyDescent="0.3"/>
    <row r="52" spans="2:9" ht="16" thickBot="1" x14ac:dyDescent="0.4">
      <c r="B52" s="1638" t="s">
        <v>394</v>
      </c>
      <c r="C52" s="1639"/>
      <c r="D52" s="312">
        <f ca="1">(C56+C57)/(C53+C54+C55)</f>
        <v>0.72029534220249991</v>
      </c>
      <c r="F52" s="28"/>
    </row>
    <row r="53" spans="2:9" ht="25" x14ac:dyDescent="0.25">
      <c r="B53" s="571" t="s">
        <v>597</v>
      </c>
      <c r="C53" s="572">
        <f ca="1">SUM(C32:C35)</f>
        <v>0.16484374999999998</v>
      </c>
      <c r="D53" s="573"/>
    </row>
    <row r="54" spans="2:9" x14ac:dyDescent="0.25">
      <c r="B54" s="574" t="s">
        <v>598</v>
      </c>
      <c r="C54" s="575">
        <f ca="1">SUM(C37:C40)</f>
        <v>2.0483999999999997E-3</v>
      </c>
      <c r="D54" s="576"/>
    </row>
    <row r="55" spans="2:9" ht="25" x14ac:dyDescent="0.25">
      <c r="B55" s="574" t="s">
        <v>395</v>
      </c>
      <c r="C55" s="575">
        <f ca="1">IF(C42="",0,C42)</f>
        <v>0</v>
      </c>
      <c r="D55" s="576"/>
    </row>
    <row r="56" spans="2:9" x14ac:dyDescent="0.25">
      <c r="B56" s="574" t="s">
        <v>599</v>
      </c>
      <c r="C56" s="575">
        <f>C44</f>
        <v>0.12021163829516093</v>
      </c>
      <c r="D56" s="576"/>
    </row>
    <row r="57" spans="2:9" ht="25.5" thickBot="1" x14ac:dyDescent="0.3">
      <c r="B57" s="577" t="s">
        <v>600</v>
      </c>
      <c r="C57" s="578">
        <f>SUM(C47:C50)</f>
        <v>0</v>
      </c>
      <c r="D57" s="579"/>
    </row>
    <row r="58" spans="2:9" ht="13" thickBot="1" x14ac:dyDescent="0.3"/>
    <row r="59" spans="2:9" ht="16.5" thickTop="1" thickBot="1" x14ac:dyDescent="0.4">
      <c r="B59" s="1626" t="s">
        <v>396</v>
      </c>
      <c r="C59" s="1627"/>
      <c r="D59" s="613"/>
      <c r="E59" s="632"/>
    </row>
    <row r="60" spans="2:9" ht="13" x14ac:dyDescent="0.3">
      <c r="B60" s="616" t="s">
        <v>248</v>
      </c>
      <c r="C60" s="580" t="s">
        <v>397</v>
      </c>
      <c r="D60" s="580" t="s">
        <v>398</v>
      </c>
      <c r="E60" s="633" t="s">
        <v>399</v>
      </c>
    </row>
    <row r="61" spans="2:9" x14ac:dyDescent="0.25">
      <c r="B61" s="615" t="str">
        <f>B32</f>
        <v>Industrial Natural Gas</v>
      </c>
      <c r="C61" s="680">
        <f ca="1">IF($B61="","",$C32/1000000*VLOOKUP($B61,Tbl_Emissions,3,FALSE))</f>
        <v>0.18006432291666663</v>
      </c>
      <c r="D61" s="680">
        <f ca="1">IF($B61="","",$C32/1000000*VLOOKUP($B61,Tbl_Emissions,4,FALSE))</f>
        <v>0.18000937499999997</v>
      </c>
      <c r="E61" s="681">
        <f ca="1">IF($B61="","",$C32/1000000*VLOOKUP($B61,Tbl_Emissions,5,FALSE))</f>
        <v>6.5659097222222219E-4</v>
      </c>
    </row>
    <row r="62" spans="2:9" x14ac:dyDescent="0.25">
      <c r="B62" s="615" t="str">
        <f>B33</f>
        <v/>
      </c>
      <c r="C62" s="680" t="str">
        <f>IF($B62="","",$C33/1000000*VLOOKUP($B62,Tbl_Emissions,3,FALSE))</f>
        <v/>
      </c>
      <c r="D62" s="680" t="str">
        <f>IF($B62="","",$C33/1000000*VLOOKUP($B62,Tbl_Emissions,4,FALSE))</f>
        <v/>
      </c>
      <c r="E62" s="681" t="str">
        <f>IF($B62="","",$C33/1000000*VLOOKUP($B62,Tbl_Emissions,5,FALSE))</f>
        <v/>
      </c>
    </row>
    <row r="63" spans="2:9" x14ac:dyDescent="0.25">
      <c r="B63" s="615" t="str">
        <f>B34</f>
        <v/>
      </c>
      <c r="C63" s="680" t="str">
        <f>IF($B63="","",$C34/1000000*VLOOKUP($B63,Tbl_Emissions,3,FALSE))</f>
        <v/>
      </c>
      <c r="D63" s="680" t="str">
        <f>IF($B63="","",$C34/1000000*VLOOKUP($B63,Tbl_Emissions,4,FALSE))</f>
        <v/>
      </c>
      <c r="E63" s="681" t="str">
        <f>IF($B63="","",$C34/1000000*VLOOKUP($B63,Tbl_Emissions,5,FALSE))</f>
        <v/>
      </c>
    </row>
    <row r="64" spans="2:9" x14ac:dyDescent="0.25">
      <c r="B64" s="615" t="str">
        <f>B35</f>
        <v/>
      </c>
      <c r="C64" s="680" t="str">
        <f>IF($B64="","",$C35/1000000*VLOOKUP($B64,Tbl_Emissions,3,FALSE))</f>
        <v/>
      </c>
      <c r="D64" s="680" t="str">
        <f>IF($B64="","",$C35/1000000*VLOOKUP($B64,Tbl_Emissions,4,FALSE))</f>
        <v/>
      </c>
      <c r="E64" s="681" t="str">
        <f>IF($B64="","",$C35/1000000*VLOOKUP($B64,Tbl_Emissions,5,FALSE))</f>
        <v/>
      </c>
    </row>
    <row r="65" spans="2:7" ht="13" x14ac:dyDescent="0.3">
      <c r="B65" s="616" t="s">
        <v>271</v>
      </c>
      <c r="C65" s="724"/>
      <c r="D65" s="724"/>
      <c r="E65" s="725"/>
    </row>
    <row r="66" spans="2:7" x14ac:dyDescent="0.25">
      <c r="B66" s="615" t="str">
        <f>B37</f>
        <v>Industrial Electricity</v>
      </c>
      <c r="C66" s="680">
        <f ca="1">IF($B66="","",$C37/1000000*VLOOKUP($B66,Tbl_Emissions,3,FALSE))</f>
        <v>3.6604907999999996E-3</v>
      </c>
      <c r="D66" s="680">
        <f ca="1">IF($B66="","",$C37/1000000*VLOOKUP($B66,Tbl_Emissions,4,FALSE))</f>
        <v>2.8065355999999995E-3</v>
      </c>
      <c r="E66" s="681">
        <f ca="1">IF($B66="","",$C37/1000000*VLOOKUP($B66,Tbl_Emissions,5,FALSE))</f>
        <v>4.3255379999999998E-5</v>
      </c>
    </row>
    <row r="67" spans="2:7" x14ac:dyDescent="0.25">
      <c r="B67" s="615" t="str">
        <f>B38</f>
        <v/>
      </c>
      <c r="C67" s="680" t="str">
        <f>IF($B67="","",$C38/1000000*VLOOKUP($B67,Tbl_Emissions,3,FALSE))</f>
        <v/>
      </c>
      <c r="D67" s="680" t="str">
        <f>IF($B67="","",$C38/1000000*VLOOKUP($B67,Tbl_Emissions,4,FALSE))</f>
        <v/>
      </c>
      <c r="E67" s="681" t="str">
        <f>IF($B67="","",$C38/1000000*VLOOKUP($B67,Tbl_Emissions,5,FALSE))</f>
        <v/>
      </c>
    </row>
    <row r="68" spans="2:7" x14ac:dyDescent="0.25">
      <c r="B68" s="615" t="str">
        <f>B39</f>
        <v/>
      </c>
      <c r="C68" s="680" t="str">
        <f>IF($B68="","",$C39/1000000*VLOOKUP($B68,Tbl_Emissions,3,FALSE))</f>
        <v/>
      </c>
      <c r="D68" s="680" t="str">
        <f>IF($B68="","",$C39/1000000*VLOOKUP($B68,Tbl_Emissions,4,FALSE))</f>
        <v/>
      </c>
      <c r="E68" s="681" t="str">
        <f>IF($B68="","",$C39/1000000*VLOOKUP($B68,Tbl_Emissions,5,FALSE))</f>
        <v/>
      </c>
    </row>
    <row r="69" spans="2:7" x14ac:dyDescent="0.25">
      <c r="B69" s="615" t="str">
        <f>B40</f>
        <v/>
      </c>
      <c r="C69" s="680" t="str">
        <f>IF($B69="","",$C40/1000000*VLOOKUP($B69,Tbl_Emissions,3,FALSE))</f>
        <v/>
      </c>
      <c r="D69" s="680" t="str">
        <f>IF($B69="","",$C40/1000000*VLOOKUP($B69,Tbl_Emissions,4,FALSE))</f>
        <v/>
      </c>
      <c r="E69" s="681" t="str">
        <f>IF($B69="","",$C40/1000000*VLOOKUP($B69,Tbl_Emissions,5,FALSE))</f>
        <v/>
      </c>
    </row>
    <row r="70" spans="2:7" ht="13" x14ac:dyDescent="0.3">
      <c r="B70" s="726" t="s">
        <v>400</v>
      </c>
      <c r="C70" s="724"/>
      <c r="D70" s="724"/>
      <c r="E70" s="725"/>
    </row>
    <row r="71" spans="2:7" ht="13" thickBot="1" x14ac:dyDescent="0.3">
      <c r="B71" s="617" t="str">
        <f ca="1">B42</f>
        <v/>
      </c>
      <c r="C71" s="682" t="str">
        <f ca="1">IF($B71="","",$C42/1000000*VLOOKUP($B71,Tbl_Emissions,3,FALSE))</f>
        <v/>
      </c>
      <c r="D71" s="682" t="str">
        <f ca="1">IF($B71="","",$C42/1000000*VLOOKUP($B71,Tbl_Emissions,4,FALSE))</f>
        <v/>
      </c>
      <c r="E71" s="683" t="str">
        <f ca="1">IF($B71="","",$C42/1000000*VLOOKUP($B71,Tbl_Emissions,5,FALSE))</f>
        <v/>
      </c>
    </row>
    <row r="72" spans="2:7" ht="13" thickTop="1" x14ac:dyDescent="0.25"/>
    <row r="74" spans="2:7" ht="22" x14ac:dyDescent="0.65">
      <c r="B74" s="316" t="s">
        <v>401</v>
      </c>
    </row>
    <row r="75" spans="2:7" ht="13" thickBot="1" x14ac:dyDescent="0.3"/>
    <row r="76" spans="2:7" ht="16.5" thickTop="1" thickBot="1" x14ac:dyDescent="0.4">
      <c r="B76" s="686" t="s">
        <v>402</v>
      </c>
      <c r="C76" s="687"/>
      <c r="D76" s="688" t="s">
        <v>403</v>
      </c>
      <c r="E76" s="689" t="s">
        <v>404</v>
      </c>
      <c r="F76" s="689" t="s">
        <v>405</v>
      </c>
      <c r="G76" s="690" t="s">
        <v>406</v>
      </c>
    </row>
    <row r="77" spans="2:7" x14ac:dyDescent="0.25">
      <c r="B77" s="1630" t="s">
        <v>539</v>
      </c>
      <c r="C77" s="1631"/>
      <c r="D77" s="692">
        <f ca="1">C121</f>
        <v>1.2371340058749998</v>
      </c>
      <c r="E77" s="696">
        <f ca="1">D121</f>
        <v>3.0870945300261111E-2</v>
      </c>
      <c r="F77" s="696">
        <f ca="1">E121</f>
        <v>1.4620258847888889E-4</v>
      </c>
      <c r="G77" s="697">
        <f ca="1">F121</f>
        <v>2.0524760097482364</v>
      </c>
    </row>
    <row r="78" spans="2:7" x14ac:dyDescent="0.25">
      <c r="B78" s="1628" t="s">
        <v>538</v>
      </c>
      <c r="C78" s="1629"/>
      <c r="D78" s="693">
        <f ca="1">D89</f>
        <v>9.2832316039335385</v>
      </c>
      <c r="E78" s="698">
        <f ca="1">E89</f>
        <v>0</v>
      </c>
      <c r="F78" s="698">
        <f ca="1">F89</f>
        <v>0</v>
      </c>
      <c r="G78" s="699">
        <f ca="1">G89</f>
        <v>9.2832316039335385</v>
      </c>
    </row>
    <row r="79" spans="2:7" x14ac:dyDescent="0.25">
      <c r="B79" s="1628"/>
      <c r="C79" s="1629"/>
      <c r="D79" s="694"/>
      <c r="E79" s="525"/>
      <c r="F79" s="525"/>
      <c r="G79" s="700"/>
    </row>
    <row r="80" spans="2:7" ht="13" thickBot="1" x14ac:dyDescent="0.3">
      <c r="B80" s="1632" t="s">
        <v>540</v>
      </c>
      <c r="C80" s="1633"/>
      <c r="D80" s="695">
        <f ca="1">SUM(D77:D79)</f>
        <v>10.520365609808538</v>
      </c>
      <c r="E80" s="701">
        <f ca="1">SUM(E77:E79)</f>
        <v>3.0870945300261111E-2</v>
      </c>
      <c r="F80" s="701">
        <f ca="1">SUM(F77:F79)</f>
        <v>1.4620258847888889E-4</v>
      </c>
      <c r="G80" s="702">
        <f ca="1">SUM(G77:G79)</f>
        <v>11.335707613681775</v>
      </c>
    </row>
    <row r="81" spans="2:7" ht="13.5" thickTop="1" thickBot="1" x14ac:dyDescent="0.3"/>
    <row r="82" spans="2:7" ht="16.5" thickTop="1" thickBot="1" x14ac:dyDescent="0.4">
      <c r="B82" s="428" t="s">
        <v>535</v>
      </c>
      <c r="C82" s="429"/>
      <c r="D82" s="650" t="s">
        <v>403</v>
      </c>
      <c r="E82" s="651" t="s">
        <v>404</v>
      </c>
      <c r="F82" s="651" t="s">
        <v>405</v>
      </c>
      <c r="G82" s="652" t="s">
        <v>406</v>
      </c>
    </row>
    <row r="83" spans="2:7" x14ac:dyDescent="0.25">
      <c r="B83" s="1630" t="s">
        <v>235</v>
      </c>
      <c r="C83" s="1631"/>
      <c r="D83" s="653">
        <f ca="1">SUM(C95:C105)</f>
        <v>9.2832316039335385</v>
      </c>
      <c r="E83" s="653">
        <f ca="1">SUM(D95:D105)</f>
        <v>0</v>
      </c>
      <c r="F83" s="653">
        <f ca="1">SUM(E95:E105)</f>
        <v>0</v>
      </c>
      <c r="G83" s="654">
        <f ca="1">SUM(F95:F105)</f>
        <v>9.2832316039335385</v>
      </c>
    </row>
    <row r="84" spans="2:7" x14ac:dyDescent="0.25">
      <c r="B84" s="1628" t="s">
        <v>236</v>
      </c>
      <c r="C84" s="1629"/>
      <c r="D84" s="655">
        <f ca="1">ROUND(D83*output_kgyear/1000,-2)</f>
        <v>1157000</v>
      </c>
      <c r="E84" s="655">
        <f ca="1">ROUND(E83*output_kgyear/1000,-2)</f>
        <v>0</v>
      </c>
      <c r="F84" s="655">
        <f ca="1">ROUND(F83*output_kgyear/1000,-2)</f>
        <v>0</v>
      </c>
      <c r="G84" s="656">
        <f ca="1">ROUND(G83*output_kgyear/1000,-2)</f>
        <v>1157000</v>
      </c>
    </row>
    <row r="85" spans="2:7" x14ac:dyDescent="0.25">
      <c r="B85" s="1628" t="s">
        <v>237</v>
      </c>
      <c r="C85" s="1629"/>
      <c r="D85" s="657">
        <f ca="1">SUM(C95:C98)</f>
        <v>9.2832316039335385</v>
      </c>
      <c r="E85" s="657">
        <f ca="1">SUM(D95:D98)</f>
        <v>0</v>
      </c>
      <c r="F85" s="657">
        <f ca="1">SUM(E95:E98)</f>
        <v>0</v>
      </c>
      <c r="G85" s="658">
        <f ca="1">SUM(F95:F98)</f>
        <v>9.2832316039335385</v>
      </c>
    </row>
    <row r="86" spans="2:7" x14ac:dyDescent="0.25">
      <c r="B86" s="1628" t="s">
        <v>238</v>
      </c>
      <c r="C86" s="1629"/>
      <c r="D86" s="655">
        <f ca="1">ROUND(D85*output_kgyear/1000,-2)</f>
        <v>1157000</v>
      </c>
      <c r="E86" s="655">
        <f ca="1">ROUND(E85*output_kgyear/1000,-2)</f>
        <v>0</v>
      </c>
      <c r="F86" s="655">
        <f ca="1">ROUND(F85*output_kgyear/1000,-2)</f>
        <v>0</v>
      </c>
      <c r="G86" s="656">
        <f ca="1">ROUND(G85*output_kgyear/1000,-2)</f>
        <v>1157000</v>
      </c>
    </row>
    <row r="87" spans="2:7" x14ac:dyDescent="0.25">
      <c r="B87" s="774" t="s">
        <v>240</v>
      </c>
      <c r="C87" s="775"/>
      <c r="D87" s="824">
        <f ca="1">IF(CO2_CashFlow_eUse&gt;0,D85*CO2_Capture_Efficiency,0)</f>
        <v>0</v>
      </c>
      <c r="E87" s="655"/>
      <c r="F87" s="655"/>
      <c r="G87" s="825"/>
    </row>
    <row r="88" spans="2:7" x14ac:dyDescent="0.25">
      <c r="B88" s="1628" t="s">
        <v>241</v>
      </c>
      <c r="C88" s="1629"/>
      <c r="D88" s="655">
        <f ca="1">ROUND(D87*output_kgyear/1000,-2)</f>
        <v>0</v>
      </c>
      <c r="E88" s="655"/>
      <c r="F88" s="655"/>
      <c r="G88" s="656"/>
    </row>
    <row r="89" spans="2:7" x14ac:dyDescent="0.25">
      <c r="B89" s="1628" t="s">
        <v>239</v>
      </c>
      <c r="C89" s="1629"/>
      <c r="D89" s="824">
        <f ca="1">D83-D87</f>
        <v>9.2832316039335385</v>
      </c>
      <c r="E89" s="655">
        <f ca="1">E83-E87</f>
        <v>0</v>
      </c>
      <c r="F89" s="655">
        <f ca="1">F83-F87</f>
        <v>0</v>
      </c>
      <c r="G89" s="825">
        <f ca="1">D89*GHG_CO2_factor + E89*GHG_CH4_factor + F89*GHG_N2O_factor</f>
        <v>9.2832316039335385</v>
      </c>
    </row>
    <row r="90" spans="2:7" ht="13" thickBot="1" x14ac:dyDescent="0.3">
      <c r="B90" s="1632" t="s">
        <v>1059</v>
      </c>
      <c r="C90" s="1633"/>
      <c r="D90" s="659">
        <f ca="1">ROUND(D89*output_kgyear/1000,-2)</f>
        <v>1157000</v>
      </c>
      <c r="E90" s="659">
        <f ca="1">ROUND(E89*output_kgyear/1000,-2)</f>
        <v>0</v>
      </c>
      <c r="F90" s="659">
        <f ca="1">ROUND(F89*output_kgyear/1000,-2)</f>
        <v>0</v>
      </c>
      <c r="G90" s="660">
        <f ca="1">ROUND(G89*output_kgyear/1000,-2)</f>
        <v>1157000</v>
      </c>
    </row>
    <row r="91" spans="2:7" ht="13" thickTop="1" x14ac:dyDescent="0.25">
      <c r="B91" t="s">
        <v>242</v>
      </c>
    </row>
    <row r="92" spans="2:7" ht="13" thickBot="1" x14ac:dyDescent="0.3"/>
    <row r="93" spans="2:7" ht="16.5" thickTop="1" thickBot="1" x14ac:dyDescent="0.4">
      <c r="B93" s="1626" t="s">
        <v>536</v>
      </c>
      <c r="C93" s="1627"/>
      <c r="D93" s="613"/>
      <c r="E93" s="613"/>
      <c r="F93" s="632"/>
    </row>
    <row r="94" spans="2:7" ht="13" x14ac:dyDescent="0.3">
      <c r="B94" s="661" t="s">
        <v>248</v>
      </c>
      <c r="C94" s="664" t="s">
        <v>403</v>
      </c>
      <c r="D94" s="664" t="s">
        <v>404</v>
      </c>
      <c r="E94" s="664" t="s">
        <v>405</v>
      </c>
      <c r="F94" s="665" t="s">
        <v>406</v>
      </c>
    </row>
    <row r="95" spans="2:7" x14ac:dyDescent="0.25">
      <c r="B95" s="662" t="str">
        <f>B32</f>
        <v>Industrial Natural Gas</v>
      </c>
      <c r="C95" s="666">
        <f ca="1">IF($B95="","",VLOOKUP($B95,MASTER_PROPERTY_TABLE,MATCH("CO2 Emissions Factor (kg CO2 produced/GJ feed)",key_MPTable,0),FALSE)*$E32*$F32)</f>
        <v>9.2832316039335385</v>
      </c>
      <c r="D95" s="671">
        <f ca="1">IF($B95="","",VLOOKUP($B95,MASTER_PROPERTY_TABLE,MATCH("CH4 Emissions Factor (kg CH4 produced/GJ or mmBtu feed)",key_MPTable,0),FALSE)*$E32*$F32)</f>
        <v>0</v>
      </c>
      <c r="E95" s="671">
        <f ca="1">IF($B95="","",VLOOKUP($B95,MASTER_PROPERTY_TABLE,MATCH("N2O Emissions Factor (kg N2O produced/GJ or mmBtu feed)",key_MPTable,0),FALSE)*$E32*$F32)</f>
        <v>0</v>
      </c>
      <c r="F95" s="674">
        <f ca="1">IF($B95="","",$C95*GHG_CO2_factor+$D95*GHG_CH4_factor+$E95*GHG_N2O_factor)</f>
        <v>9.2832316039335385</v>
      </c>
    </row>
    <row r="96" spans="2:7" x14ac:dyDescent="0.25">
      <c r="B96" s="662" t="str">
        <f>B33</f>
        <v/>
      </c>
      <c r="C96" s="666" t="str">
        <f>IF($B96="","",VLOOKUP($B96,MASTER_PROPERTY_TABLE,MATCH("CO2 Emissions Factor (kg CO2 produced/GJ feed)",key_MPTable,0),FALSE)*$E33*$F33)</f>
        <v/>
      </c>
      <c r="D96" s="671" t="str">
        <f>IF($B96="","",VLOOKUP($B96,MASTER_PROPERTY_TABLE,MATCH("CH4 Emissions Factor (kg CH4 produced/GJ or mmBtu feed)",key_MPTable,0),FALSE)*$E33*$F33)</f>
        <v/>
      </c>
      <c r="E96" s="671" t="str">
        <f>IF($B96="","",VLOOKUP($B96,MASTER_PROPERTY_TABLE,MATCH("N2O Emissions Factor (kg N2O produced/GJ or mmBtu feed)",key_MPTable,0),FALSE)*$E33*$F33)</f>
        <v/>
      </c>
      <c r="F96" s="674" t="str">
        <f>IF($B96="","",$C96*GHG_CO2_factor+$D96*GHG_CH4_factor+$E96*GHG_N2O_factor)</f>
        <v/>
      </c>
    </row>
    <row r="97" spans="2:6" x14ac:dyDescent="0.25">
      <c r="B97" s="662" t="str">
        <f>B34</f>
        <v/>
      </c>
      <c r="C97" s="666" t="str">
        <f>IF($B97="","",VLOOKUP($B97,MASTER_PROPERTY_TABLE,MATCH("CO2 Emissions Factor (kg CO2 produced/GJ feed)",key_MPTable,0),FALSE)*$E34*$F34)</f>
        <v/>
      </c>
      <c r="D97" s="671" t="str">
        <f>IF($B97="","",VLOOKUP($B97,MASTER_PROPERTY_TABLE,MATCH("CH4 Emissions Factor (kg CH4 produced/GJ or mmBtu feed)",key_MPTable,0),FALSE)*$E34*$F34)</f>
        <v/>
      </c>
      <c r="E97" s="671" t="str">
        <f>IF($B97="","",VLOOKUP($B97,MASTER_PROPERTY_TABLE,MATCH("N2O Emissions Factor (kg N2O produced/GJ or mmBtu feed)",key_MPTable,0),FALSE)*$E34*$F34)</f>
        <v/>
      </c>
      <c r="F97" s="674" t="str">
        <f>IF($B97="","",$C97*GHG_CO2_factor+$D97*GHG_CH4_factor+$E97*GHG_N2O_factor)</f>
        <v/>
      </c>
    </row>
    <row r="98" spans="2:6" x14ac:dyDescent="0.25">
      <c r="B98" s="662" t="str">
        <f>B35</f>
        <v/>
      </c>
      <c r="C98" s="666" t="str">
        <f>IF($B98="","",VLOOKUP($B98,MASTER_PROPERTY_TABLE,MATCH("CO2 Emissions Factor (kg CO2 produced/GJ feed)",key_MPTable,0),FALSE)*$E35*$F35)</f>
        <v/>
      </c>
      <c r="D98" s="671" t="str">
        <f>IF($B98="","",VLOOKUP($B98,MASTER_PROPERTY_TABLE,MATCH("CH4 Emissions Factor (kg CH4 produced/GJ or mmBtu feed)",key_MPTable,0),FALSE)*$E35*$F35)</f>
        <v/>
      </c>
      <c r="E98" s="671" t="str">
        <f>IF($B98="","",VLOOKUP($B98,MASTER_PROPERTY_TABLE,MATCH("N2O Emissions Factor (kg N2O produced/GJ or mmBtu feed)",key_MPTable,0),FALSE)*$E35*$F35)</f>
        <v/>
      </c>
      <c r="F98" s="674" t="str">
        <f>IF($B98="","",$C98*GHG_CO2_factor+$D98*GHG_CH4_factor+$E98*GHG_N2O_factor)</f>
        <v/>
      </c>
    </row>
    <row r="99" spans="2:6" ht="13" x14ac:dyDescent="0.3">
      <c r="B99" s="727" t="s">
        <v>271</v>
      </c>
      <c r="C99" s="728"/>
      <c r="D99" s="729"/>
      <c r="E99" s="729"/>
      <c r="F99" s="730"/>
    </row>
    <row r="100" spans="2:6" x14ac:dyDescent="0.25">
      <c r="B100" s="662" t="str">
        <f>B37</f>
        <v>Industrial Electricity</v>
      </c>
      <c r="C100" s="666">
        <f ca="1">IF($B100="","",VLOOKUP($B100,MASTER_PROPERTY_TABLE,MATCH("CO2 Emissions Factor (kg CO2 produced/GJ feed)",key_MPTable,0),FALSE)*$E37*$F37)</f>
        <v>0</v>
      </c>
      <c r="D100" s="671">
        <f ca="1">IF($B100="","",VLOOKUP($B100,MASTER_PROPERTY_TABLE,MATCH("CH4 Emissions Factor (kg CH4 produced/GJ or mmBtu feed)",key_MPTable,0),FALSE)*$E37*$F37)</f>
        <v>0</v>
      </c>
      <c r="E100" s="671">
        <f ca="1">IF($B100="","",VLOOKUP($B100,MASTER_PROPERTY_TABLE,MATCH("N2O Emissions Factor (kg N2O produced/GJ or mmBtu feed)",key_MPTable,0),FALSE)*$E37*$F37)</f>
        <v>0</v>
      </c>
      <c r="F100" s="674">
        <f ca="1">IF($B100="","",$C100*GHG_CO2_factor+$D100*GHG_CH4_factor+$E100*GHG_N2O_factor)</f>
        <v>0</v>
      </c>
    </row>
    <row r="101" spans="2:6" x14ac:dyDescent="0.25">
      <c r="B101" s="662" t="str">
        <f>B38</f>
        <v/>
      </c>
      <c r="C101" s="666" t="str">
        <f>IF($B101="","",VLOOKUP($B101,MASTER_PROPERTY_TABLE,MATCH("CO2 Emissions Factor (kg CO2 produced/GJ feed)",key_MPTable,0),FALSE)*$E38*$F38)</f>
        <v/>
      </c>
      <c r="D101" s="671" t="str">
        <f>IF($B101="","",VLOOKUP($B101,MASTER_PROPERTY_TABLE,MATCH("CH4 Emissions Factor (kg CH4 produced/GJ or mmBtu feed)",key_MPTable,0),FALSE)*$E38*$F38)</f>
        <v/>
      </c>
      <c r="E101" s="671" t="str">
        <f>IF($B101="","",VLOOKUP($B101,MASTER_PROPERTY_TABLE,MATCH("N2O Emissions Factor (kg N2O produced/GJ or mmBtu feed)",key_MPTable,0),FALSE)*$E38*$F38)</f>
        <v/>
      </c>
      <c r="F101" s="674" t="str">
        <f>IF($B101="","",$C101*GHG_CO2_factor+$D101*GHG_CH4_factor+$E101*GHG_N2O_factor)</f>
        <v/>
      </c>
    </row>
    <row r="102" spans="2:6" x14ac:dyDescent="0.25">
      <c r="B102" s="662" t="str">
        <f>B39</f>
        <v/>
      </c>
      <c r="C102" s="666" t="str">
        <f>IF($B102="","",VLOOKUP($B102,MASTER_PROPERTY_TABLE,MATCH("CO2 Emissions Factor (kg CO2 produced/GJ feed)",key_MPTable,0),FALSE)*$E39*$F39)</f>
        <v/>
      </c>
      <c r="D102" s="671" t="str">
        <f>IF($B102="","",VLOOKUP($B102,MASTER_PROPERTY_TABLE,MATCH("CH4 Emissions Factor (kg CH4 produced/GJ or mmBtu feed)",key_MPTable,0),FALSE)*$E39*$F39)</f>
        <v/>
      </c>
      <c r="E102" s="671" t="str">
        <f>IF($B102="","",VLOOKUP($B102,MASTER_PROPERTY_TABLE,MATCH("N2O Emissions Factor (kg N2O produced/GJ or mmBtu feed)",key_MPTable,0),FALSE)*$E39*$F39)</f>
        <v/>
      </c>
      <c r="F102" s="674" t="str">
        <f>IF($B102="","",$C102*GHG_CO2_factor+$D102*GHG_CH4_factor+$E102*GHG_N2O_factor)</f>
        <v/>
      </c>
    </row>
    <row r="103" spans="2:6" x14ac:dyDescent="0.25">
      <c r="B103" s="662" t="str">
        <f>B40</f>
        <v/>
      </c>
      <c r="C103" s="666" t="str">
        <f>IF($B103="","",VLOOKUP($B103,MASTER_PROPERTY_TABLE,MATCH("CO2 Emissions Factor (kg CO2 produced/GJ feed)",key_MPTable,0),FALSE)*$E40*$F40)</f>
        <v/>
      </c>
      <c r="D103" s="671" t="str">
        <f>IF($B103="","",VLOOKUP($B103,MASTER_PROPERTY_TABLE,MATCH("CH4 Emissions Factor (kg CH4 produced/GJ or mmBtu feed)",key_MPTable,0),FALSE)*$E40*$F40)</f>
        <v/>
      </c>
      <c r="E103" s="671" t="str">
        <f>IF($B103="","",VLOOKUP($B103,MASTER_PROPERTY_TABLE,MATCH("N2O Emissions Factor (kg N2O produced/GJ or mmBtu feed)",key_MPTable,0),FALSE)*$E40*$F40)</f>
        <v/>
      </c>
      <c r="F103" s="674" t="str">
        <f>IF($B103="","",$C103*GHG_CO2_factor+$D103*GHG_CH4_factor+$E103*GHG_N2O_factor)</f>
        <v/>
      </c>
    </row>
    <row r="104" spans="2:6" ht="13" x14ac:dyDescent="0.3">
      <c r="B104" s="727" t="s">
        <v>400</v>
      </c>
      <c r="C104" s="728"/>
      <c r="D104" s="729"/>
      <c r="E104" s="729"/>
      <c r="F104" s="730"/>
    </row>
    <row r="105" spans="2:6" ht="13" thickBot="1" x14ac:dyDescent="0.3">
      <c r="B105" s="663" t="str">
        <f ca="1">B42</f>
        <v/>
      </c>
      <c r="C105" s="677" t="str">
        <f ca="1">IF($B105="","",VLOOKUP($B105,MASTER_PROPERTY_TABLE,MATCH("CO2 Emissions Factor (kg CO2 produced/GJ feed)",key_MPTable,0),FALSE)*$E42*$F42)</f>
        <v/>
      </c>
      <c r="D105" s="678" t="str">
        <f ca="1">IF($B105="","",VLOOKUP($B105,MASTER_PROPERTY_TABLE,MATCH("CH4 Emissions Factor (kg CH4 produced/GJ or mmBtu feed)",key_MPTable,0),FALSE)*$E42*$F42)</f>
        <v/>
      </c>
      <c r="E105" s="678" t="str">
        <f ca="1">IF($B105="","",VLOOKUP($B105,MASTER_PROPERTY_TABLE,MATCH("N2O Emissions Factor (kg N2O produced/GJ or mmBtu feed)",key_MPTable,0),FALSE)*$E42*$F42)</f>
        <v/>
      </c>
      <c r="F105" s="679" t="str">
        <f ca="1">IF($B105="","",$C105*GHG_CO2_factor+$D105*GHG_CH4_factor+$E105*GHG_N2O_factor)</f>
        <v/>
      </c>
    </row>
    <row r="106" spans="2:6" ht="13" thickTop="1" x14ac:dyDescent="0.25"/>
    <row r="107" spans="2:6" ht="13" thickBot="1" x14ac:dyDescent="0.3"/>
    <row r="108" spans="2:6" ht="16.5" thickTop="1" thickBot="1" x14ac:dyDescent="0.4">
      <c r="B108" s="1626" t="s">
        <v>1345</v>
      </c>
      <c r="C108" s="1627"/>
      <c r="D108" s="613"/>
      <c r="E108" s="613"/>
      <c r="F108" s="632"/>
    </row>
    <row r="109" spans="2:6" ht="13" x14ac:dyDescent="0.3">
      <c r="B109" s="661" t="s">
        <v>248</v>
      </c>
      <c r="C109" s="664" t="s">
        <v>403</v>
      </c>
      <c r="D109" s="664" t="s">
        <v>404</v>
      </c>
      <c r="E109" s="664" t="s">
        <v>405</v>
      </c>
      <c r="F109" s="665" t="s">
        <v>406</v>
      </c>
    </row>
    <row r="110" spans="2:6" x14ac:dyDescent="0.25">
      <c r="B110" s="662" t="str">
        <f>B32</f>
        <v>Industrial Natural Gas</v>
      </c>
      <c r="C110" s="666">
        <f ca="1">IF($B110="","",$C32*VLOOKUP($B110,Tbl_Emissions,6,FALSE))</f>
        <v>0.95010992187499987</v>
      </c>
      <c r="D110" s="671">
        <f ca="1">IF($B110="","",$C32*VLOOKUP($B110,Tbl_Emissions,7,FALSE))</f>
        <v>3.043552282986111E-2</v>
      </c>
      <c r="E110" s="671">
        <f ca="1">IF($B110="","",$C32*VLOOKUP($B110,Tbl_Emissions,8,FALSE))</f>
        <v>1.4200373263888888E-4</v>
      </c>
      <c r="F110" s="674">
        <f ca="1">IF($B110="","",$C110*GHG_CO2_factor+$D110*GHG_CH4_factor+$E110*GHG_N2O_factor)</f>
        <v>1.7533151049479163</v>
      </c>
    </row>
    <row r="111" spans="2:6" x14ac:dyDescent="0.25">
      <c r="B111" s="662" t="str">
        <f>B33</f>
        <v/>
      </c>
      <c r="C111" s="666" t="str">
        <f>IF($B111="","",$C33*VLOOKUP($B111,Tbl_Emissions,6,FALSE))</f>
        <v/>
      </c>
      <c r="D111" s="671" t="str">
        <f>IF($B111="","",$C33*VLOOKUP($B111,Tbl_Emissions,7,FALSE))</f>
        <v/>
      </c>
      <c r="E111" s="671" t="str">
        <f>IF($B111="","",$C33*VLOOKUP($B111,Tbl_Emissions,8,FALSE))</f>
        <v/>
      </c>
      <c r="F111" s="674" t="str">
        <f>IF($B111="","",$C111*GHG_CO2_factor+$D111*GHG_CH4_factor+$E111*GHG_N2O_factor)</f>
        <v/>
      </c>
    </row>
    <row r="112" spans="2:6" x14ac:dyDescent="0.25">
      <c r="B112" s="662" t="str">
        <f>B34</f>
        <v/>
      </c>
      <c r="C112" s="666" t="str">
        <f>IF($B112="","",$C34*VLOOKUP($B112,Tbl_Emissions,6,FALSE))</f>
        <v/>
      </c>
      <c r="D112" s="671" t="str">
        <f>IF($B112="","",$C34*VLOOKUP($B112,Tbl_Emissions,7,FALSE))</f>
        <v/>
      </c>
      <c r="E112" s="671" t="str">
        <f>IF($B112="","",$C34*VLOOKUP($B112,Tbl_Emissions,8,FALSE))</f>
        <v/>
      </c>
      <c r="F112" s="674" t="str">
        <f>IF($B112="","",$C112*GHG_CO2_factor+$D112*GHG_CH4_factor+$E112*GHG_N2O_factor)</f>
        <v/>
      </c>
    </row>
    <row r="113" spans="2:6" x14ac:dyDescent="0.25">
      <c r="B113" s="662" t="str">
        <f>B35</f>
        <v/>
      </c>
      <c r="C113" s="666" t="str">
        <f>IF($B113="","",$C35*VLOOKUP($B113,Tbl_Emissions,6,FALSE))</f>
        <v/>
      </c>
      <c r="D113" s="671" t="str">
        <f>IF($B113="","",$C35*VLOOKUP($B113,Tbl_Emissions,7,FALSE))</f>
        <v/>
      </c>
      <c r="E113" s="671" t="str">
        <f>IF($B113="","",$C35*VLOOKUP($B113,Tbl_Emissions,8,FALSE))</f>
        <v/>
      </c>
      <c r="F113" s="674" t="str">
        <f>IF($B113="","",$C113*GHG_CO2_factor+$D113*GHG_CH4_factor+$E113*GHG_N2O_factor)</f>
        <v/>
      </c>
    </row>
    <row r="114" spans="2:6" ht="13" x14ac:dyDescent="0.3">
      <c r="B114" s="727" t="s">
        <v>271</v>
      </c>
      <c r="C114" s="728"/>
      <c r="D114" s="729"/>
      <c r="E114" s="729"/>
      <c r="F114" s="730"/>
    </row>
    <row r="115" spans="2:6" x14ac:dyDescent="0.25">
      <c r="B115" s="662" t="str">
        <f>B37</f>
        <v>Industrial Electricity</v>
      </c>
      <c r="C115" s="666">
        <f ca="1">IF($B115="","",$C37*VLOOKUP($B115,Tbl_Emissions,6,FALSE))</f>
        <v>0.28702408399999996</v>
      </c>
      <c r="D115" s="671">
        <f ca="1">IF($B115="","",$C37*VLOOKUP($B115,Tbl_Emissions,7,FALSE))</f>
        <v>4.3542247039999991E-4</v>
      </c>
      <c r="E115" s="671">
        <f ca="1">IF($B115="","",$C37*VLOOKUP($B115,Tbl_Emissions,8,FALSE))</f>
        <v>4.1988558400000005E-6</v>
      </c>
      <c r="F115" s="674">
        <f ca="1">IF($B115="","",$C115*GHG_CO2_factor+$D115*GHG_CH4_factor+$E115*GHG_N2O_factor)</f>
        <v>0.29916090480031993</v>
      </c>
    </row>
    <row r="116" spans="2:6" x14ac:dyDescent="0.25">
      <c r="B116" s="662" t="str">
        <f>B38</f>
        <v/>
      </c>
      <c r="C116" s="666" t="str">
        <f>IF($B116="","",$C38*VLOOKUP($B116,Tbl_Emissions,6,FALSE))</f>
        <v/>
      </c>
      <c r="D116" s="671" t="str">
        <f>IF($B116="","",$C38*VLOOKUP($B116,Tbl_Emissions,7,FALSE))</f>
        <v/>
      </c>
      <c r="E116" s="671" t="str">
        <f>IF($B116="","",$C38*VLOOKUP($B116,Tbl_Emissions,8,FALSE))</f>
        <v/>
      </c>
      <c r="F116" s="674" t="str">
        <f>IF($B116="","",$C116*GHG_CO2_factor+$D116*GHG_CH4_factor+$E116*GHG_N2O_factor)</f>
        <v/>
      </c>
    </row>
    <row r="117" spans="2:6" x14ac:dyDescent="0.25">
      <c r="B117" s="662" t="str">
        <f>B39</f>
        <v/>
      </c>
      <c r="C117" s="666" t="str">
        <f>IF($B117="","",$C39*VLOOKUP($B117,Tbl_Emissions,6,FALSE))</f>
        <v/>
      </c>
      <c r="D117" s="671" t="str">
        <f>IF($B117="","",$C39*VLOOKUP($B117,Tbl_Emissions,7,FALSE))</f>
        <v/>
      </c>
      <c r="E117" s="671" t="str">
        <f>IF($B117="","",$C39*VLOOKUP($B117,Tbl_Emissions,8,FALSE))</f>
        <v/>
      </c>
      <c r="F117" s="674" t="str">
        <f>IF($B117="","",$C117*GHG_CO2_factor+$D117*GHG_CH4_factor+$E117*GHG_N2O_factor)</f>
        <v/>
      </c>
    </row>
    <row r="118" spans="2:6" x14ac:dyDescent="0.25">
      <c r="B118" s="662" t="str">
        <f>B40</f>
        <v/>
      </c>
      <c r="C118" s="666" t="str">
        <f>IF($B118="","",$C40*VLOOKUP($B118,Tbl_Emissions,6,FALSE))</f>
        <v/>
      </c>
      <c r="D118" s="671" t="str">
        <f>IF($B118="","",$C40*VLOOKUP($B118,Tbl_Emissions,7,FALSE))</f>
        <v/>
      </c>
      <c r="E118" s="671" t="str">
        <f>IF($B118="","",$C40*VLOOKUP($B118,Tbl_Emissions,8,FALSE))</f>
        <v/>
      </c>
      <c r="F118" s="674" t="str">
        <f>IF($B118="","",$C118*GHG_CO2_factor+$D118*GHG_CH4_factor+$E118*GHG_N2O_factor)</f>
        <v/>
      </c>
    </row>
    <row r="119" spans="2:6" ht="13" x14ac:dyDescent="0.3">
      <c r="B119" s="727" t="s">
        <v>400</v>
      </c>
      <c r="C119" s="728"/>
      <c r="D119" s="729"/>
      <c r="E119" s="729"/>
      <c r="F119" s="730"/>
    </row>
    <row r="120" spans="2:6" ht="13" thickBot="1" x14ac:dyDescent="0.3">
      <c r="B120" s="667" t="str">
        <f ca="1">B42</f>
        <v/>
      </c>
      <c r="C120" s="669" t="str">
        <f ca="1">IF($B120="","",$C42*VLOOKUP($B120,Tbl_Emissions,6,FALSE))</f>
        <v/>
      </c>
      <c r="D120" s="672" t="str">
        <f ca="1">IF($B120="","",$C42*VLOOKUP($B120,Tbl_Emissions,7,FALSE))</f>
        <v/>
      </c>
      <c r="E120" s="672" t="str">
        <f ca="1">IF($B120="","",$C42*VLOOKUP($B120,Tbl_Emissions,8,FALSE))</f>
        <v/>
      </c>
      <c r="F120" s="675" t="str">
        <f ca="1">IF($B120="","",$C120*GHG_CO2_factor+$D120*GHG_CH4_factor+$E120*GHG_N2O_factor)</f>
        <v/>
      </c>
    </row>
    <row r="121" spans="2:6" ht="13.5" thickBot="1" x14ac:dyDescent="0.35">
      <c r="B121" s="668" t="s">
        <v>541</v>
      </c>
      <c r="C121" s="670">
        <f ca="1">SUM(C110:C120)</f>
        <v>1.2371340058749998</v>
      </c>
      <c r="D121" s="673">
        <f ca="1">SUM(D110:D120)</f>
        <v>3.0870945300261111E-2</v>
      </c>
      <c r="E121" s="673">
        <f ca="1">SUM(E110:E120)</f>
        <v>1.4620258847888889E-4</v>
      </c>
      <c r="F121" s="676">
        <f ca="1">SUM(F110:F120)</f>
        <v>2.0524760097482364</v>
      </c>
    </row>
    <row r="122" spans="2:6" ht="13" thickTop="1" x14ac:dyDescent="0.25"/>
  </sheetData>
  <mergeCells count="18">
    <mergeCell ref="F17:H17"/>
    <mergeCell ref="F23:H23"/>
    <mergeCell ref="B30:C30"/>
    <mergeCell ref="B52:C52"/>
    <mergeCell ref="B93:C93"/>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E42" sqref="E42"/>
    </sheetView>
  </sheetViews>
  <sheetFormatPr defaultRowHeight="12.5" x14ac:dyDescent="0.25"/>
  <cols>
    <col min="1" max="1" width="7.1796875" customWidth="1"/>
    <col min="2" max="2" width="35.54296875" customWidth="1"/>
    <col min="3" max="3" width="15.7265625" customWidth="1"/>
    <col min="4" max="6" width="20.7265625" customWidth="1"/>
    <col min="7" max="8" width="16.26953125" customWidth="1"/>
    <col min="9" max="9" width="16" bestFit="1" customWidth="1"/>
    <col min="10" max="15" width="12.26953125" customWidth="1"/>
    <col min="16" max="16" width="17.453125" bestFit="1" customWidth="1"/>
    <col min="17" max="22" width="12.26953125" customWidth="1"/>
    <col min="23" max="23" width="18.453125" customWidth="1"/>
    <col min="24" max="24" width="12.26953125" customWidth="1"/>
  </cols>
  <sheetData>
    <row r="1" spans="1:73" x14ac:dyDescent="0.25">
      <c r="A1" s="1096"/>
      <c r="B1" s="1096"/>
      <c r="C1" s="1097"/>
      <c r="D1" s="1096"/>
      <c r="E1" s="1096"/>
      <c r="F1" s="1097"/>
      <c r="G1" s="1097"/>
      <c r="H1" s="1096"/>
      <c r="I1" s="1096"/>
      <c r="J1" s="1096"/>
      <c r="K1" s="1096"/>
      <c r="L1" s="1096"/>
      <c r="M1" s="1096"/>
      <c r="N1" s="1096"/>
      <c r="O1" s="1096"/>
      <c r="P1" s="1096"/>
      <c r="Q1" s="1096"/>
      <c r="R1" s="1096"/>
      <c r="S1" s="1096"/>
      <c r="T1" s="1096"/>
      <c r="U1" s="1096"/>
      <c r="V1" s="1096"/>
      <c r="W1" s="1096"/>
      <c r="X1" s="1096"/>
      <c r="Y1" s="1096"/>
      <c r="Z1" s="1096"/>
      <c r="AA1" s="1096"/>
      <c r="AB1" s="1096"/>
      <c r="AC1" s="1096"/>
      <c r="AD1" s="1096"/>
      <c r="AE1" s="1096"/>
      <c r="AF1" s="1096"/>
      <c r="AG1" s="1096"/>
      <c r="AH1" s="1096"/>
      <c r="AI1" s="1096"/>
      <c r="AJ1" s="1096"/>
      <c r="AK1" s="1096"/>
      <c r="AL1" s="1096"/>
      <c r="AM1" s="1096"/>
      <c r="AN1" s="1096"/>
      <c r="AO1" s="1096"/>
      <c r="AP1" s="1096"/>
      <c r="AQ1" s="1096"/>
      <c r="AR1" s="1096"/>
      <c r="AS1" s="1096"/>
      <c r="AT1" s="1096"/>
      <c r="AU1" s="1096"/>
      <c r="AV1" s="1096"/>
      <c r="AW1" s="1096"/>
      <c r="AX1" s="1096"/>
      <c r="AY1" s="1096"/>
      <c r="AZ1" s="1096"/>
      <c r="BA1" s="1096"/>
      <c r="BB1" s="1096"/>
      <c r="BC1" s="1096"/>
      <c r="BD1" s="1096"/>
      <c r="BE1" s="1096"/>
      <c r="BF1" s="1096"/>
      <c r="BG1" s="1096"/>
      <c r="BH1" s="1096"/>
      <c r="BI1" s="1096"/>
      <c r="BJ1" s="1096"/>
      <c r="BK1" s="1096"/>
      <c r="BL1" s="1096"/>
      <c r="BM1" s="1096"/>
      <c r="BN1" s="1096"/>
      <c r="BO1" s="1096"/>
      <c r="BP1" s="1096"/>
      <c r="BQ1" s="1096"/>
      <c r="BR1" s="1096"/>
      <c r="BS1" s="1096"/>
      <c r="BT1" s="1096"/>
      <c r="BU1" s="1096"/>
    </row>
    <row r="2" spans="1:73" ht="26" x14ac:dyDescent="0.3">
      <c r="A2" s="1096"/>
      <c r="B2" s="1107" t="s">
        <v>1136</v>
      </c>
      <c r="C2" s="1107" t="s">
        <v>1135</v>
      </c>
      <c r="D2" s="1107" t="s">
        <v>1202</v>
      </c>
      <c r="E2" s="1107" t="s">
        <v>1203</v>
      </c>
      <c r="F2" s="1107" t="s">
        <v>1139</v>
      </c>
      <c r="G2" s="1107" t="s">
        <v>1140</v>
      </c>
      <c r="H2" s="1107" t="s">
        <v>1141</v>
      </c>
      <c r="I2" s="1107" t="s">
        <v>1142</v>
      </c>
      <c r="J2" s="1097"/>
      <c r="K2" s="1097"/>
      <c r="L2" s="1096"/>
      <c r="M2" s="1096"/>
      <c r="N2" s="1096"/>
      <c r="O2" s="1096"/>
      <c r="P2" s="1096"/>
      <c r="Q2" s="1096"/>
      <c r="R2" s="1096"/>
      <c r="S2" s="1096"/>
      <c r="T2" s="1096"/>
      <c r="U2" s="1096"/>
      <c r="V2" s="1096"/>
      <c r="W2" s="1096"/>
      <c r="X2" s="1096"/>
      <c r="Y2" s="1096"/>
      <c r="Z2" s="1096"/>
      <c r="AA2" s="1096"/>
      <c r="AB2" s="1096"/>
      <c r="AC2" s="1096"/>
      <c r="AD2" s="1096"/>
      <c r="AE2" s="1096"/>
      <c r="AF2" s="1096"/>
      <c r="AG2" s="1096"/>
      <c r="AH2" s="1096"/>
      <c r="AI2" s="1096"/>
      <c r="AJ2" s="1096"/>
      <c r="AK2" s="1096"/>
      <c r="AL2" s="1096"/>
      <c r="AM2" s="1096"/>
      <c r="AN2" s="1096"/>
      <c r="AO2" s="1096"/>
      <c r="AP2" s="1096"/>
      <c r="AQ2" s="1096"/>
      <c r="AR2" s="1096"/>
      <c r="AS2" s="1096"/>
      <c r="AT2" s="1096"/>
      <c r="AU2" s="1096"/>
      <c r="AV2" s="1096"/>
      <c r="AW2" s="1096"/>
      <c r="AX2" s="1096"/>
      <c r="AY2" s="1096"/>
      <c r="AZ2" s="1096"/>
      <c r="BA2" s="1096"/>
      <c r="BB2" s="1096"/>
      <c r="BC2" s="1096"/>
      <c r="BD2" s="1096"/>
      <c r="BE2" s="1096"/>
      <c r="BF2" s="1096"/>
      <c r="BG2" s="1096"/>
      <c r="BH2" s="1096"/>
      <c r="BI2" s="1096"/>
      <c r="BJ2" s="1096"/>
      <c r="BK2" s="1096"/>
      <c r="BL2" s="1096"/>
      <c r="BM2" s="1096"/>
      <c r="BN2" s="1096"/>
      <c r="BO2" s="1096"/>
      <c r="BP2" s="1096"/>
      <c r="BQ2" s="1096"/>
      <c r="BR2" s="1096"/>
      <c r="BS2" s="1096"/>
      <c r="BT2" s="1096"/>
      <c r="BU2" s="1096"/>
    </row>
    <row r="3" spans="1:73" x14ac:dyDescent="0.25">
      <c r="A3" s="1096"/>
      <c r="B3" s="1099" t="s">
        <v>1176</v>
      </c>
      <c r="C3" s="1103">
        <f ca="1">+cap_factor</f>
        <v>0.9</v>
      </c>
      <c r="D3" s="1102">
        <v>0.05</v>
      </c>
      <c r="E3" s="1102">
        <v>0.05</v>
      </c>
      <c r="F3" s="1112">
        <f>1+D3</f>
        <v>1.05</v>
      </c>
      <c r="G3" s="1109">
        <f>1-E3</f>
        <v>0.95</v>
      </c>
      <c r="H3" s="1101">
        <f t="shared" ref="H3:H9" ca="1" si="0">+C3*F3</f>
        <v>0.94500000000000006</v>
      </c>
      <c r="I3" s="1101">
        <f t="shared" ref="I3:I9" ca="1" si="1">+C3*G3</f>
        <v>0.85499999999999998</v>
      </c>
      <c r="J3" s="1450"/>
      <c r="K3" s="1450"/>
      <c r="L3" s="1096"/>
      <c r="M3" s="1096"/>
      <c r="N3" s="1096"/>
      <c r="O3" s="1096"/>
      <c r="P3" s="1096"/>
      <c r="Q3" s="1096"/>
      <c r="R3" s="1096"/>
      <c r="S3" s="1096"/>
      <c r="T3" s="1096"/>
      <c r="U3" s="1096"/>
      <c r="V3" s="1096"/>
      <c r="W3" s="1096"/>
      <c r="X3" s="1096"/>
      <c r="Y3" s="1096"/>
      <c r="Z3" s="1096"/>
      <c r="AA3" s="1096"/>
      <c r="AB3" s="1096"/>
      <c r="AC3" s="1096"/>
      <c r="AD3" s="1096"/>
      <c r="AE3" s="1096"/>
      <c r="AF3" s="1096"/>
      <c r="AG3" s="1096"/>
      <c r="AH3" s="1096"/>
      <c r="AI3" s="1096"/>
      <c r="AJ3" s="1096"/>
      <c r="AK3" s="1096"/>
      <c r="AL3" s="1096"/>
      <c r="AM3" s="1096"/>
      <c r="AN3" s="1096"/>
      <c r="AO3" s="1096"/>
      <c r="AP3" s="1096"/>
      <c r="AQ3" s="1096"/>
      <c r="AR3" s="1096"/>
      <c r="AS3" s="1096"/>
      <c r="AT3" s="1096"/>
      <c r="AU3" s="1096"/>
      <c r="AV3" s="1096"/>
      <c r="AW3" s="1096"/>
      <c r="AX3" s="1096"/>
      <c r="AY3" s="1096"/>
      <c r="AZ3" s="1096"/>
      <c r="BA3" s="1096"/>
      <c r="BB3" s="1096"/>
      <c r="BC3" s="1096"/>
      <c r="BD3" s="1096"/>
      <c r="BE3" s="1096"/>
      <c r="BF3" s="1096"/>
      <c r="BG3" s="1096"/>
      <c r="BH3" s="1096"/>
      <c r="BI3" s="1096"/>
      <c r="BJ3" s="1096"/>
      <c r="BK3" s="1096"/>
      <c r="BL3" s="1096"/>
      <c r="BM3" s="1096"/>
      <c r="BN3" s="1096"/>
      <c r="BO3" s="1096"/>
      <c r="BP3" s="1096"/>
      <c r="BQ3" s="1096"/>
      <c r="BR3" s="1096"/>
      <c r="BS3" s="1096"/>
      <c r="BT3" s="1096"/>
      <c r="BU3" s="1096"/>
    </row>
    <row r="4" spans="1:73" x14ac:dyDescent="0.25">
      <c r="A4" s="1096"/>
      <c r="B4" s="1099" t="str">
        <f>+Input_Sheet_Template!B26</f>
        <v>Plant Design Capacity (kg of H2/day)</v>
      </c>
      <c r="C4" s="1104">
        <f ca="1">+design_cap</f>
        <v>379387</v>
      </c>
      <c r="D4" s="1102">
        <v>0.05</v>
      </c>
      <c r="E4" s="1102">
        <v>0.05</v>
      </c>
      <c r="F4" s="1112">
        <f>1+D4</f>
        <v>1.05</v>
      </c>
      <c r="G4" s="1109">
        <f>1-E4</f>
        <v>0.95</v>
      </c>
      <c r="H4" s="1106">
        <f t="shared" ca="1" si="0"/>
        <v>398356.35000000003</v>
      </c>
      <c r="I4" s="1106">
        <f t="shared" ca="1" si="1"/>
        <v>360417.64999999997</v>
      </c>
      <c r="J4" s="1450"/>
      <c r="K4" s="1450"/>
      <c r="L4" s="1096"/>
      <c r="M4" s="1096"/>
      <c r="N4" s="1096"/>
      <c r="O4" s="1096"/>
      <c r="P4" s="1096"/>
      <c r="Q4" s="1096"/>
      <c r="R4" s="1096"/>
      <c r="S4" s="1096"/>
      <c r="T4" s="1096"/>
      <c r="U4" s="1096"/>
      <c r="V4" s="1096"/>
      <c r="W4" s="1096"/>
      <c r="X4" s="1096"/>
      <c r="Y4" s="1096"/>
      <c r="Z4" s="1096"/>
      <c r="AA4" s="1096"/>
      <c r="AB4" s="1096"/>
      <c r="AC4" s="1096"/>
      <c r="AD4" s="1096"/>
      <c r="AE4" s="1096"/>
      <c r="AF4" s="1096"/>
      <c r="AG4" s="1096"/>
      <c r="AH4" s="1096"/>
      <c r="AI4" s="1096"/>
      <c r="AJ4" s="1096"/>
      <c r="AK4" s="1096"/>
      <c r="AL4" s="1096"/>
      <c r="AM4" s="1096"/>
      <c r="AN4" s="1096"/>
      <c r="AO4" s="1096"/>
      <c r="AP4" s="1096"/>
      <c r="AQ4" s="1096"/>
      <c r="AR4" s="1096"/>
      <c r="AS4" s="1096"/>
      <c r="AT4" s="1096"/>
      <c r="AU4" s="1096"/>
      <c r="AV4" s="1096"/>
      <c r="AW4" s="1096"/>
      <c r="AX4" s="1096"/>
      <c r="AY4" s="1096"/>
      <c r="AZ4" s="1096"/>
      <c r="BA4" s="1096"/>
      <c r="BB4" s="1096"/>
      <c r="BC4" s="1096"/>
      <c r="BD4" s="1096"/>
      <c r="BE4" s="1096"/>
      <c r="BF4" s="1096"/>
      <c r="BG4" s="1096"/>
      <c r="BH4" s="1096"/>
      <c r="BI4" s="1096"/>
      <c r="BJ4" s="1096"/>
      <c r="BK4" s="1096"/>
      <c r="BL4" s="1096"/>
      <c r="BM4" s="1096"/>
      <c r="BN4" s="1096"/>
      <c r="BO4" s="1096"/>
      <c r="BP4" s="1096"/>
      <c r="BQ4" s="1096"/>
      <c r="BR4" s="1096"/>
      <c r="BS4" s="1096"/>
      <c r="BT4" s="1096"/>
      <c r="BU4" s="1096"/>
    </row>
    <row r="5" spans="1:73" x14ac:dyDescent="0.25">
      <c r="A5" s="1096"/>
      <c r="B5" s="1099" t="s">
        <v>1177</v>
      </c>
      <c r="C5" s="1103">
        <f ca="1">+real_irr</f>
        <v>0.08</v>
      </c>
      <c r="D5" s="1102">
        <v>0.05</v>
      </c>
      <c r="E5" s="1102">
        <v>0.05</v>
      </c>
      <c r="F5" s="1112">
        <f>1-D5</f>
        <v>0.95</v>
      </c>
      <c r="G5" s="1109">
        <f>1+E5</f>
        <v>1.05</v>
      </c>
      <c r="H5" s="1101">
        <f t="shared" ca="1" si="0"/>
        <v>7.5999999999999998E-2</v>
      </c>
      <c r="I5" s="1101">
        <f t="shared" ca="1" si="1"/>
        <v>8.4000000000000005E-2</v>
      </c>
      <c r="J5" s="1450"/>
      <c r="K5" s="1450"/>
      <c r="L5" s="1096"/>
      <c r="M5" s="1096"/>
      <c r="N5" s="1096"/>
      <c r="O5" s="1096"/>
      <c r="P5" s="1096"/>
      <c r="Q5" s="1096"/>
      <c r="R5" s="1096"/>
      <c r="S5" s="1096"/>
      <c r="T5" s="1096"/>
      <c r="U5" s="1096"/>
      <c r="V5" s="1096"/>
      <c r="W5" s="1096"/>
      <c r="X5" s="1096"/>
      <c r="Y5" s="1096"/>
      <c r="Z5" s="1096"/>
      <c r="AA5" s="1096"/>
      <c r="AB5" s="1096"/>
      <c r="AC5" s="1096"/>
      <c r="AD5" s="1096"/>
      <c r="AE5" s="1096"/>
      <c r="AF5" s="1096"/>
      <c r="AG5" s="1096"/>
      <c r="AH5" s="1096"/>
      <c r="AI5" s="1096"/>
      <c r="AJ5" s="1096"/>
      <c r="AK5" s="1096"/>
      <c r="AL5" s="1096"/>
      <c r="AM5" s="1096"/>
      <c r="AN5" s="1096"/>
      <c r="AO5" s="1096"/>
      <c r="AP5" s="1096"/>
      <c r="AQ5" s="1096"/>
      <c r="AR5" s="1096"/>
      <c r="AS5" s="1096"/>
      <c r="AT5" s="1096"/>
      <c r="AU5" s="1096"/>
      <c r="AV5" s="1096"/>
      <c r="AW5" s="1096"/>
      <c r="AX5" s="1096"/>
      <c r="AY5" s="1096"/>
      <c r="AZ5" s="1096"/>
      <c r="BA5" s="1096"/>
      <c r="BB5" s="1096"/>
      <c r="BC5" s="1096"/>
      <c r="BD5" s="1096"/>
      <c r="BE5" s="1096"/>
      <c r="BF5" s="1096"/>
      <c r="BG5" s="1096"/>
      <c r="BH5" s="1096"/>
      <c r="BI5" s="1096"/>
      <c r="BJ5" s="1096"/>
      <c r="BK5" s="1096"/>
      <c r="BL5" s="1096"/>
      <c r="BM5" s="1096"/>
      <c r="BN5" s="1096"/>
      <c r="BO5" s="1096"/>
      <c r="BP5" s="1096"/>
      <c r="BQ5" s="1096"/>
      <c r="BR5" s="1096"/>
      <c r="BS5" s="1096"/>
      <c r="BT5" s="1096"/>
      <c r="BU5" s="1096"/>
    </row>
    <row r="6" spans="1:73" x14ac:dyDescent="0.25">
      <c r="A6" s="1096"/>
      <c r="B6" s="1099" t="s">
        <v>1186</v>
      </c>
      <c r="C6" s="1199">
        <v>1</v>
      </c>
      <c r="D6" s="1102">
        <v>0.05</v>
      </c>
      <c r="E6" s="1102">
        <v>0.05</v>
      </c>
      <c r="F6" s="1112">
        <f>1-D6</f>
        <v>0.95</v>
      </c>
      <c r="G6" s="1109">
        <f t="shared" ref="G6:G9" si="2">1+E6</f>
        <v>1.05</v>
      </c>
      <c r="H6" s="1195">
        <f t="shared" si="0"/>
        <v>0.95</v>
      </c>
      <c r="I6" s="1195">
        <f t="shared" si="1"/>
        <v>1.05</v>
      </c>
      <c r="J6" s="1450"/>
      <c r="K6" s="1450"/>
      <c r="L6" s="1096"/>
      <c r="M6" s="1096"/>
      <c r="N6" s="1096"/>
      <c r="O6" s="1096"/>
      <c r="P6" s="1096"/>
      <c r="Q6" s="1096"/>
      <c r="R6" s="1096"/>
      <c r="S6" s="1096"/>
      <c r="T6" s="1096"/>
      <c r="U6" s="1096"/>
      <c r="V6" s="1096"/>
      <c r="W6" s="1096"/>
      <c r="X6" s="1096"/>
      <c r="Y6" s="1096"/>
      <c r="Z6" s="1096"/>
      <c r="AA6" s="1096"/>
      <c r="AB6" s="1096"/>
      <c r="AC6" s="1096"/>
      <c r="AD6" s="1096"/>
      <c r="AE6" s="1096"/>
      <c r="AF6" s="1096"/>
      <c r="AG6" s="1096"/>
      <c r="AH6" s="1096"/>
      <c r="AI6" s="1096"/>
      <c r="AJ6" s="1096"/>
      <c r="AK6" s="1096"/>
      <c r="AL6" s="1096"/>
      <c r="AM6" s="1096"/>
      <c r="AN6" s="1096"/>
      <c r="AO6" s="1096"/>
      <c r="AP6" s="1096"/>
      <c r="AQ6" s="1096"/>
      <c r="AR6" s="1096"/>
      <c r="AS6" s="1096"/>
      <c r="AT6" s="1096"/>
      <c r="AU6" s="1096"/>
      <c r="AV6" s="1096"/>
      <c r="AW6" s="1096"/>
      <c r="AX6" s="1096"/>
      <c r="AY6" s="1096"/>
      <c r="AZ6" s="1096"/>
      <c r="BA6" s="1096"/>
      <c r="BB6" s="1096"/>
      <c r="BC6" s="1096"/>
      <c r="BD6" s="1096"/>
      <c r="BE6" s="1096"/>
      <c r="BF6" s="1096"/>
      <c r="BG6" s="1096"/>
      <c r="BH6" s="1096"/>
      <c r="BI6" s="1096"/>
      <c r="BJ6" s="1096"/>
      <c r="BK6" s="1096"/>
      <c r="BL6" s="1096"/>
      <c r="BM6" s="1096"/>
      <c r="BN6" s="1096"/>
      <c r="BO6" s="1096"/>
      <c r="BP6" s="1096"/>
      <c r="BQ6" s="1096"/>
      <c r="BR6" s="1096"/>
      <c r="BS6" s="1096"/>
      <c r="BT6" s="1096"/>
      <c r="BU6" s="1096"/>
    </row>
    <row r="7" spans="1:73" x14ac:dyDescent="0.25">
      <c r="A7" s="1096"/>
      <c r="B7" s="1099" t="s">
        <v>1187</v>
      </c>
      <c r="C7" s="1199">
        <v>1</v>
      </c>
      <c r="D7" s="1102">
        <v>0.05</v>
      </c>
      <c r="E7" s="1102">
        <v>0.05</v>
      </c>
      <c r="F7" s="1112">
        <f>1-D7</f>
        <v>0.95</v>
      </c>
      <c r="G7" s="1109">
        <f t="shared" si="2"/>
        <v>1.05</v>
      </c>
      <c r="H7" s="1195">
        <f t="shared" si="0"/>
        <v>0.95</v>
      </c>
      <c r="I7" s="1195">
        <f t="shared" si="1"/>
        <v>1.05</v>
      </c>
      <c r="J7" s="1450"/>
      <c r="K7" s="1450"/>
      <c r="L7" s="1096"/>
      <c r="M7" s="1096"/>
      <c r="N7" s="1096"/>
      <c r="O7" s="1096"/>
      <c r="P7" s="1096"/>
      <c r="Q7" s="1096"/>
      <c r="R7" s="1096"/>
      <c r="S7" s="1096"/>
      <c r="T7" s="1096"/>
      <c r="U7" s="1096"/>
      <c r="V7" s="1096"/>
      <c r="W7" s="1096"/>
      <c r="X7" s="1096"/>
      <c r="Y7" s="1096"/>
      <c r="Z7" s="1096"/>
      <c r="AA7" s="1096"/>
      <c r="AB7" s="1096"/>
      <c r="AC7" s="1096"/>
      <c r="AD7" s="1096"/>
      <c r="AE7" s="1096"/>
      <c r="AF7" s="1096"/>
      <c r="AG7" s="1096"/>
      <c r="AH7" s="1096"/>
      <c r="AI7" s="1096"/>
      <c r="AJ7" s="1096"/>
      <c r="AK7" s="1096"/>
      <c r="AL7" s="1096"/>
      <c r="AM7" s="1096"/>
      <c r="AN7" s="1096"/>
      <c r="AO7" s="1096"/>
      <c r="AP7" s="1096"/>
      <c r="AQ7" s="1096"/>
      <c r="AR7" s="1096"/>
      <c r="AS7" s="1096"/>
      <c r="AT7" s="1096"/>
      <c r="AU7" s="1096"/>
      <c r="AV7" s="1096"/>
      <c r="AW7" s="1096"/>
      <c r="AX7" s="1096"/>
      <c r="AY7" s="1096"/>
      <c r="AZ7" s="1096"/>
      <c r="BA7" s="1096"/>
      <c r="BB7" s="1096"/>
      <c r="BC7" s="1096"/>
      <c r="BD7" s="1096"/>
      <c r="BE7" s="1096"/>
      <c r="BF7" s="1096"/>
      <c r="BG7" s="1096"/>
      <c r="BH7" s="1096"/>
      <c r="BI7" s="1096"/>
      <c r="BJ7" s="1096"/>
      <c r="BK7" s="1096"/>
      <c r="BL7" s="1096"/>
      <c r="BM7" s="1096"/>
      <c r="BN7" s="1096"/>
      <c r="BO7" s="1096"/>
      <c r="BP7" s="1096"/>
      <c r="BQ7" s="1096"/>
      <c r="BR7" s="1096"/>
      <c r="BS7" s="1096"/>
      <c r="BT7" s="1096"/>
      <c r="BU7" s="1096"/>
    </row>
    <row r="8" spans="1:73" x14ac:dyDescent="0.25">
      <c r="A8" s="1096"/>
      <c r="B8" s="1099" t="s">
        <v>117</v>
      </c>
      <c r="C8" s="1104">
        <f ca="1">+total_cap</f>
        <v>248498021.87377435</v>
      </c>
      <c r="D8" s="1102">
        <v>0.05</v>
      </c>
      <c r="E8" s="1102">
        <v>0.05</v>
      </c>
      <c r="F8" s="1112">
        <f>1-D8</f>
        <v>0.95</v>
      </c>
      <c r="G8" s="1109">
        <f t="shared" si="2"/>
        <v>1.05</v>
      </c>
      <c r="H8" s="1106">
        <f t="shared" ca="1" si="0"/>
        <v>236073120.78008562</v>
      </c>
      <c r="I8" s="1106">
        <f t="shared" ca="1" si="1"/>
        <v>260922922.96746308</v>
      </c>
      <c r="J8" s="1450"/>
      <c r="K8" s="1450"/>
      <c r="L8" s="1096"/>
      <c r="M8" s="1096"/>
      <c r="N8" s="1096"/>
      <c r="O8" s="1096"/>
      <c r="P8" s="1096"/>
      <c r="Q8" s="1096"/>
      <c r="R8" s="1096"/>
      <c r="S8" s="1096"/>
      <c r="T8" s="1096"/>
      <c r="U8" s="1096"/>
      <c r="V8" s="1096"/>
      <c r="W8" s="1096"/>
      <c r="X8" s="1096"/>
      <c r="Y8" s="1096"/>
      <c r="Z8" s="1096"/>
      <c r="AA8" s="1096"/>
      <c r="AB8" s="1096"/>
      <c r="AC8" s="1096"/>
      <c r="AD8" s="1096"/>
      <c r="AE8" s="1096"/>
      <c r="AF8" s="1096"/>
      <c r="AG8" s="1096"/>
      <c r="AH8" s="1096"/>
      <c r="AI8" s="1096"/>
      <c r="AJ8" s="1096"/>
      <c r="AK8" s="1096"/>
      <c r="AL8" s="1096"/>
      <c r="AM8" s="1096"/>
      <c r="AN8" s="1096"/>
      <c r="AO8" s="1096"/>
      <c r="AP8" s="1096"/>
      <c r="AQ8" s="1096"/>
      <c r="AR8" s="1096"/>
      <c r="AS8" s="1096"/>
      <c r="AT8" s="1096"/>
      <c r="AU8" s="1096"/>
      <c r="AV8" s="1096"/>
      <c r="AW8" s="1096"/>
      <c r="AX8" s="1096"/>
      <c r="AY8" s="1096"/>
      <c r="AZ8" s="1096"/>
      <c r="BA8" s="1096"/>
      <c r="BB8" s="1096"/>
      <c r="BC8" s="1096"/>
      <c r="BD8" s="1096"/>
      <c r="BE8" s="1096"/>
      <c r="BF8" s="1096"/>
      <c r="BG8" s="1096"/>
      <c r="BH8" s="1096"/>
      <c r="BI8" s="1096"/>
      <c r="BJ8" s="1096"/>
      <c r="BK8" s="1096"/>
      <c r="BL8" s="1096"/>
      <c r="BM8" s="1096"/>
      <c r="BN8" s="1096"/>
      <c r="BO8" s="1096"/>
      <c r="BP8" s="1096"/>
      <c r="BQ8" s="1096"/>
      <c r="BR8" s="1096"/>
      <c r="BS8" s="1096"/>
      <c r="BT8" s="1096"/>
      <c r="BU8" s="1096"/>
    </row>
    <row r="9" spans="1:73" x14ac:dyDescent="0.25">
      <c r="A9" s="1096"/>
      <c r="B9" s="1099" t="s">
        <v>634</v>
      </c>
      <c r="C9" s="1104">
        <f ca="1">+fixed</f>
        <v>8901358.0979094766</v>
      </c>
      <c r="D9" s="1102">
        <v>0.05</v>
      </c>
      <c r="E9" s="1102">
        <v>0.05</v>
      </c>
      <c r="F9" s="1112">
        <f>1-D9</f>
        <v>0.95</v>
      </c>
      <c r="G9" s="1109">
        <f t="shared" si="2"/>
        <v>1.05</v>
      </c>
      <c r="H9" s="1106">
        <f t="shared" ca="1" si="0"/>
        <v>8456290.1930140015</v>
      </c>
      <c r="I9" s="1106">
        <f t="shared" ca="1" si="1"/>
        <v>9346426.0028049517</v>
      </c>
      <c r="J9" s="1450"/>
      <c r="K9" s="1450"/>
      <c r="L9" s="1096"/>
      <c r="M9" s="1096"/>
      <c r="N9" s="1096"/>
      <c r="O9" s="1096"/>
      <c r="P9" s="1096"/>
      <c r="Q9" s="1096"/>
      <c r="R9" s="1096"/>
      <c r="S9" s="1096"/>
      <c r="T9" s="1096"/>
      <c r="U9" s="1096"/>
      <c r="V9" s="1096"/>
      <c r="W9" s="1096"/>
      <c r="X9" s="1096"/>
      <c r="Y9" s="1096"/>
      <c r="Z9" s="1096"/>
      <c r="AA9" s="1096"/>
      <c r="AB9" s="1096"/>
      <c r="AC9" s="1096"/>
      <c r="AD9" s="1096"/>
      <c r="AE9" s="1096"/>
      <c r="AF9" s="1096"/>
      <c r="AG9" s="1096"/>
      <c r="AH9" s="1096"/>
      <c r="AI9" s="1096"/>
      <c r="AJ9" s="1096"/>
      <c r="AK9" s="1096"/>
      <c r="AL9" s="1096"/>
      <c r="AM9" s="1096"/>
      <c r="AN9" s="1096"/>
      <c r="AO9" s="1096"/>
      <c r="AP9" s="1096"/>
      <c r="AQ9" s="1096"/>
      <c r="AR9" s="1096"/>
      <c r="AS9" s="1096"/>
      <c r="AT9" s="1096"/>
      <c r="AU9" s="1096"/>
      <c r="AV9" s="1096"/>
      <c r="AW9" s="1096"/>
      <c r="AX9" s="1096"/>
      <c r="AY9" s="1096"/>
      <c r="AZ9" s="1096"/>
      <c r="BA9" s="1096"/>
      <c r="BB9" s="1096"/>
      <c r="BC9" s="1096"/>
      <c r="BD9" s="1096"/>
      <c r="BE9" s="1096"/>
      <c r="BF9" s="1096"/>
      <c r="BG9" s="1096"/>
      <c r="BH9" s="1096"/>
      <c r="BI9" s="1096"/>
      <c r="BJ9" s="1096"/>
      <c r="BK9" s="1096"/>
      <c r="BL9" s="1096"/>
      <c r="BM9" s="1096"/>
      <c r="BN9" s="1096"/>
      <c r="BO9" s="1096"/>
      <c r="BP9" s="1096"/>
      <c r="BQ9" s="1096"/>
      <c r="BR9" s="1096"/>
      <c r="BS9" s="1096"/>
      <c r="BT9" s="1096"/>
      <c r="BU9" s="1096"/>
    </row>
    <row r="10" spans="1:73" x14ac:dyDescent="0.25">
      <c r="A10" s="1096"/>
      <c r="B10" s="1096"/>
      <c r="C10" s="1096"/>
      <c r="D10" s="1096"/>
      <c r="E10" s="1096"/>
      <c r="F10" s="1096"/>
      <c r="G10" s="1096"/>
      <c r="H10" s="1096"/>
      <c r="I10" s="1096"/>
      <c r="J10" s="1096"/>
      <c r="K10" s="1096"/>
      <c r="L10" s="1096"/>
      <c r="M10" s="1096"/>
      <c r="N10" s="1096"/>
      <c r="O10" s="1096"/>
      <c r="P10" s="1096"/>
      <c r="Q10" s="1096"/>
      <c r="R10" s="1096"/>
      <c r="S10" s="1096"/>
      <c r="T10" s="1096"/>
      <c r="U10" s="1096"/>
      <c r="V10" s="1096"/>
      <c r="W10" s="1096"/>
      <c r="X10" s="1096"/>
      <c r="Y10" s="1096"/>
      <c r="Z10" s="1096"/>
      <c r="AA10" s="1096"/>
      <c r="AB10" s="1096"/>
      <c r="AC10" s="1096"/>
      <c r="AD10" s="1096"/>
      <c r="AE10" s="1096"/>
      <c r="AF10" s="1096"/>
      <c r="AG10" s="1096"/>
      <c r="AH10" s="1096"/>
      <c r="AI10" s="1096"/>
      <c r="AJ10" s="1096"/>
      <c r="AK10" s="1096"/>
      <c r="AL10" s="1096"/>
      <c r="AM10" s="1096"/>
      <c r="AN10" s="1096"/>
      <c r="AO10" s="1096"/>
      <c r="AP10" s="1096"/>
      <c r="AQ10" s="1096"/>
      <c r="AR10" s="1096"/>
      <c r="AS10" s="1096"/>
      <c r="AT10" s="1096"/>
      <c r="AU10" s="1096"/>
      <c r="AV10" s="1096"/>
      <c r="AW10" s="1096"/>
      <c r="AX10" s="1096"/>
      <c r="AY10" s="1096"/>
      <c r="AZ10" s="1096"/>
      <c r="BA10" s="1096"/>
      <c r="BB10" s="1096"/>
      <c r="BC10" s="1096"/>
      <c r="BD10" s="1096"/>
      <c r="BE10" s="1096"/>
      <c r="BF10" s="1096"/>
      <c r="BG10" s="1096"/>
      <c r="BH10" s="1096"/>
      <c r="BI10" s="1096"/>
      <c r="BJ10" s="1096"/>
      <c r="BK10" s="1096"/>
      <c r="BL10" s="1096"/>
      <c r="BM10" s="1096"/>
      <c r="BN10" s="1096"/>
      <c r="BO10" s="1096"/>
      <c r="BP10" s="1096"/>
      <c r="BQ10" s="1096"/>
      <c r="BR10" s="1096"/>
      <c r="BS10" s="1096"/>
      <c r="BT10" s="1096"/>
      <c r="BU10" s="1096"/>
    </row>
    <row r="11" spans="1:73" x14ac:dyDescent="0.25">
      <c r="A11" s="1096"/>
      <c r="B11" s="1640" t="s">
        <v>1303</v>
      </c>
      <c r="C11" s="1640"/>
      <c r="D11" s="1102" t="s">
        <v>23</v>
      </c>
      <c r="E11" s="1462" t="str">
        <f>IF(RunRiskAnalysis="Yes","          Please click Update Charts and Risk Analysis button before using results below","")</f>
        <v xml:space="preserve">          Please click Update Charts and Risk Analysis button before using results below</v>
      </c>
      <c r="F11" s="1096"/>
      <c r="H11" s="1096"/>
      <c r="I11" s="1096"/>
      <c r="J11" s="1096"/>
      <c r="K11" s="1096"/>
      <c r="L11" s="1096"/>
      <c r="M11" s="1096"/>
      <c r="N11" s="1096"/>
      <c r="O11" s="1096"/>
      <c r="P11" s="1096"/>
      <c r="Q11" s="1096"/>
      <c r="R11" s="1096"/>
      <c r="S11" s="1096"/>
      <c r="T11" s="1096"/>
      <c r="U11" s="1096"/>
      <c r="V11" s="1096"/>
      <c r="W11" s="1096"/>
      <c r="X11" s="1096"/>
      <c r="Y11" s="1096"/>
      <c r="Z11" s="1096"/>
      <c r="AA11" s="1096"/>
      <c r="AB11" s="1096"/>
      <c r="AC11" s="1096"/>
      <c r="AD11" s="1096"/>
      <c r="AE11" s="1096"/>
      <c r="AF11" s="1096"/>
      <c r="AG11" s="1096"/>
      <c r="AH11" s="1096"/>
      <c r="AI11" s="1096"/>
      <c r="AJ11" s="1096"/>
      <c r="AK11" s="1096"/>
      <c r="AL11" s="1096"/>
      <c r="AM11" s="1096"/>
      <c r="AN11" s="1096"/>
      <c r="AO11" s="1096"/>
      <c r="AP11" s="1096"/>
      <c r="AQ11" s="1096"/>
      <c r="AR11" s="1096"/>
      <c r="AS11" s="1096"/>
      <c r="AT11" s="1096"/>
      <c r="AU11" s="1096"/>
      <c r="AV11" s="1096"/>
      <c r="AW11" s="1096"/>
      <c r="AX11" s="1096"/>
      <c r="AY11" s="1096"/>
      <c r="AZ11" s="1096"/>
      <c r="BA11" s="1096"/>
      <c r="BB11" s="1096"/>
      <c r="BC11" s="1096"/>
      <c r="BD11" s="1096"/>
      <c r="BE11" s="1096"/>
      <c r="BF11" s="1096"/>
      <c r="BG11" s="1096"/>
      <c r="BH11" s="1096"/>
      <c r="BI11" s="1096"/>
      <c r="BJ11" s="1096"/>
      <c r="BK11" s="1096"/>
      <c r="BL11" s="1096"/>
      <c r="BM11" s="1096"/>
      <c r="BN11" s="1096"/>
      <c r="BO11" s="1096"/>
      <c r="BP11" s="1096"/>
      <c r="BQ11" s="1096"/>
      <c r="BR11" s="1096"/>
      <c r="BS11" s="1096"/>
      <c r="BT11" s="1096"/>
      <c r="BU11" s="1096"/>
    </row>
    <row r="12" spans="1:73" ht="12.75" customHeight="1" x14ac:dyDescent="0.25">
      <c r="A12" s="1096"/>
      <c r="B12" s="1096"/>
      <c r="C12" s="1096"/>
      <c r="D12" s="1096"/>
      <c r="E12" s="1096"/>
      <c r="F12" s="1096"/>
      <c r="G12" s="1096"/>
      <c r="H12" s="1096"/>
      <c r="I12" s="1096"/>
      <c r="J12" s="1096"/>
      <c r="K12" s="1096"/>
      <c r="L12" s="1096"/>
      <c r="M12" s="1096"/>
      <c r="N12" s="1096"/>
      <c r="P12" s="1640" t="s">
        <v>1321</v>
      </c>
      <c r="Q12" s="1640"/>
      <c r="R12" s="1641" t="s">
        <v>1344</v>
      </c>
      <c r="S12" s="1641"/>
      <c r="T12" s="1641"/>
      <c r="U12" s="1641"/>
      <c r="V12" s="1096"/>
      <c r="W12" s="1096"/>
      <c r="X12" s="1096"/>
      <c r="Y12" s="1096"/>
      <c r="Z12" s="1096"/>
      <c r="AA12" s="1096"/>
      <c r="AB12" s="1096"/>
      <c r="AC12" s="1096"/>
      <c r="AD12" s="1096"/>
      <c r="AE12" s="1096"/>
      <c r="AF12" s="1096"/>
      <c r="AG12" s="1096"/>
      <c r="AH12" s="1096"/>
      <c r="AI12" s="1096"/>
      <c r="AJ12" s="1096"/>
      <c r="AK12" s="1096"/>
      <c r="AL12" s="1096"/>
      <c r="AM12" s="1096"/>
      <c r="AN12" s="1096"/>
      <c r="AO12" s="1096"/>
      <c r="AP12" s="1096"/>
      <c r="AQ12" s="1096"/>
      <c r="AR12" s="1096"/>
      <c r="AS12" s="1096"/>
      <c r="AT12" s="1096"/>
      <c r="AU12" s="1096"/>
      <c r="AV12" s="1096"/>
      <c r="AW12" s="1096"/>
      <c r="AX12" s="1096"/>
      <c r="AY12" s="1096"/>
      <c r="AZ12" s="1096"/>
      <c r="BA12" s="1096"/>
      <c r="BB12" s="1096"/>
      <c r="BC12" s="1096"/>
      <c r="BD12" s="1096"/>
      <c r="BE12" s="1096"/>
      <c r="BF12" s="1096"/>
      <c r="BG12" s="1096"/>
      <c r="BH12" s="1096"/>
      <c r="BI12" s="1096"/>
      <c r="BJ12" s="1096"/>
      <c r="BK12" s="1096"/>
      <c r="BL12" s="1096"/>
      <c r="BM12" s="1096"/>
      <c r="BN12" s="1096"/>
      <c r="BO12" s="1096"/>
      <c r="BP12" s="1096"/>
      <c r="BQ12" s="1096"/>
      <c r="BR12" s="1096"/>
      <c r="BS12" s="1096"/>
      <c r="BT12" s="1096"/>
      <c r="BU12" s="1096"/>
    </row>
    <row r="13" spans="1:73" ht="13" x14ac:dyDescent="0.3">
      <c r="A13" s="1096"/>
      <c r="B13" s="1096"/>
      <c r="C13" s="1096"/>
      <c r="D13" s="1096"/>
      <c r="E13" s="1096"/>
      <c r="F13" s="1096"/>
      <c r="G13" s="1096"/>
      <c r="H13" s="1096"/>
      <c r="I13" s="1096"/>
      <c r="J13" s="1096"/>
      <c r="K13" s="1096"/>
      <c r="L13" s="1096"/>
      <c r="M13" s="1096"/>
      <c r="N13" s="1096"/>
      <c r="O13" s="1096"/>
      <c r="P13" s="1096"/>
      <c r="Q13" s="1096"/>
      <c r="R13" s="1096"/>
      <c r="S13" s="1096"/>
      <c r="T13" s="1096"/>
      <c r="U13" s="1096"/>
      <c r="V13" s="1107" t="s">
        <v>1307</v>
      </c>
      <c r="W13" s="1107" t="s">
        <v>1092</v>
      </c>
      <c r="X13" s="1096"/>
      <c r="Y13" s="1096"/>
      <c r="Z13" s="1096"/>
      <c r="AA13" s="1096"/>
      <c r="AB13" s="1096"/>
      <c r="AC13" s="1096"/>
      <c r="AD13" s="1096"/>
      <c r="AE13" s="1096"/>
      <c r="AF13" s="1096"/>
      <c r="AG13" s="1096"/>
      <c r="AH13" s="1096"/>
      <c r="AI13" s="1096"/>
      <c r="AJ13" s="1096"/>
      <c r="AK13" s="1096"/>
      <c r="AL13" s="1096"/>
      <c r="AM13" s="1096"/>
      <c r="AN13" s="1096"/>
      <c r="AO13" s="1096"/>
      <c r="AP13" s="1096"/>
      <c r="AQ13" s="1096"/>
      <c r="AR13" s="1096"/>
      <c r="AS13" s="1096"/>
      <c r="AT13" s="1096"/>
      <c r="AU13" s="1096"/>
      <c r="AV13" s="1096"/>
      <c r="AW13" s="1096"/>
      <c r="AX13" s="1096"/>
      <c r="AY13" s="1096"/>
      <c r="AZ13" s="1096"/>
      <c r="BA13" s="1096"/>
      <c r="BB13" s="1096"/>
      <c r="BC13" s="1096"/>
      <c r="BD13" s="1096"/>
      <c r="BE13" s="1096"/>
      <c r="BF13" s="1096"/>
      <c r="BG13" s="1096"/>
      <c r="BH13" s="1096"/>
      <c r="BI13" s="1096"/>
      <c r="BJ13" s="1096"/>
      <c r="BK13" s="1096"/>
      <c r="BL13" s="1096"/>
      <c r="BM13" s="1096"/>
      <c r="BN13" s="1096"/>
      <c r="BO13" s="1096"/>
      <c r="BP13" s="1096"/>
      <c r="BQ13" s="1096"/>
      <c r="BR13" s="1096"/>
      <c r="BS13" s="1096"/>
      <c r="BT13" s="1096"/>
      <c r="BU13" s="1096"/>
    </row>
    <row r="14" spans="1:73" x14ac:dyDescent="0.25">
      <c r="A14" s="1096"/>
      <c r="B14" s="1096"/>
      <c r="C14" s="1096"/>
      <c r="D14" s="1096"/>
      <c r="E14" s="1096"/>
      <c r="F14" s="1096"/>
      <c r="G14" s="1096"/>
      <c r="H14" s="1096"/>
      <c r="I14" s="1096"/>
      <c r="J14" s="1096"/>
      <c r="K14" s="1096"/>
      <c r="L14" s="1096"/>
      <c r="M14" s="1096"/>
      <c r="N14" s="1096"/>
      <c r="O14" s="1096"/>
      <c r="P14" s="1096"/>
      <c r="Q14" s="1096"/>
      <c r="R14" s="1096"/>
      <c r="S14" s="1096"/>
      <c r="T14" s="1096"/>
      <c r="U14" s="1096"/>
      <c r="V14" s="1109">
        <v>0</v>
      </c>
      <c r="W14" s="1110">
        <f ca="1">+MIN(OFFSET($B$251:$B$2250,0,$C$194))*$C$198</f>
        <v>1.100068842518275</v>
      </c>
      <c r="X14" s="1096"/>
      <c r="Y14" s="1096"/>
      <c r="Z14" s="1096"/>
      <c r="AA14" s="1096"/>
      <c r="AB14" s="1096"/>
      <c r="AC14" s="1096"/>
      <c r="AD14" s="1096"/>
      <c r="AE14" s="1096"/>
      <c r="AF14" s="1096"/>
      <c r="AG14" s="1096"/>
      <c r="AH14" s="1096"/>
      <c r="AI14" s="1096"/>
      <c r="AJ14" s="1096"/>
      <c r="AK14" s="1096"/>
      <c r="AL14" s="1096"/>
      <c r="AM14" s="1096"/>
      <c r="AN14" s="1096"/>
      <c r="AO14" s="1096"/>
      <c r="AP14" s="1096"/>
      <c r="AQ14" s="1096"/>
      <c r="AR14" s="1096"/>
      <c r="AS14" s="1096"/>
      <c r="AT14" s="1096"/>
      <c r="AU14" s="1096"/>
      <c r="AV14" s="1096"/>
      <c r="AW14" s="1096"/>
      <c r="AX14" s="1096"/>
      <c r="AY14" s="1096"/>
      <c r="AZ14" s="1096"/>
      <c r="BA14" s="1096"/>
      <c r="BB14" s="1096"/>
      <c r="BC14" s="1096"/>
      <c r="BD14" s="1096"/>
      <c r="BE14" s="1096"/>
      <c r="BF14" s="1096"/>
      <c r="BG14" s="1096"/>
      <c r="BH14" s="1096"/>
      <c r="BI14" s="1096"/>
      <c r="BJ14" s="1096"/>
      <c r="BK14" s="1096"/>
      <c r="BL14" s="1096"/>
      <c r="BM14" s="1096"/>
      <c r="BN14" s="1096"/>
      <c r="BO14" s="1096"/>
      <c r="BP14" s="1096"/>
      <c r="BQ14" s="1096"/>
      <c r="BR14" s="1096"/>
      <c r="BS14" s="1096"/>
      <c r="BT14" s="1096"/>
      <c r="BU14" s="1096"/>
    </row>
    <row r="15" spans="1:73" x14ac:dyDescent="0.25">
      <c r="A15" s="1096"/>
      <c r="B15" s="1096"/>
      <c r="C15" s="1096"/>
      <c r="D15" s="1096"/>
      <c r="E15" s="1096"/>
      <c r="F15" s="1096"/>
      <c r="G15" s="1096"/>
      <c r="H15" s="1096"/>
      <c r="I15" s="1096"/>
      <c r="J15" s="1096"/>
      <c r="K15" s="1096"/>
      <c r="L15" s="1096"/>
      <c r="M15" s="1096"/>
      <c r="N15" s="1096"/>
      <c r="O15" s="1096"/>
      <c r="P15" s="1096"/>
      <c r="Q15" s="1096"/>
      <c r="R15" s="1096"/>
      <c r="S15" s="1096"/>
      <c r="T15" s="1096"/>
      <c r="U15" s="1096"/>
      <c r="V15" s="1460">
        <v>0.05</v>
      </c>
      <c r="W15" s="1461">
        <f t="shared" ref="W15:W33" ca="1" si="3">+PERCENTILE(OFFSET($B$251:$B$2250,0,$C$194),V15)*$C$198</f>
        <v>1.1182564854119137</v>
      </c>
      <c r="X15" s="1096"/>
      <c r="Y15" s="1096"/>
      <c r="Z15" s="1096"/>
      <c r="AA15" s="1096"/>
      <c r="AB15" s="1096"/>
      <c r="AC15" s="1096"/>
      <c r="AD15" s="1096"/>
      <c r="AE15" s="1096"/>
      <c r="AF15" s="1096"/>
      <c r="AG15" s="1096"/>
      <c r="AH15" s="1096"/>
      <c r="AI15" s="1096"/>
      <c r="AJ15" s="1096"/>
      <c r="AK15" s="1096"/>
      <c r="AL15" s="1096"/>
      <c r="AM15" s="1096"/>
      <c r="AN15" s="1096"/>
      <c r="AO15" s="1096"/>
      <c r="AP15" s="1096"/>
      <c r="AQ15" s="1096"/>
      <c r="AR15" s="1096"/>
      <c r="AS15" s="1096"/>
      <c r="AT15" s="1096"/>
      <c r="AU15" s="1096"/>
      <c r="AV15" s="1096"/>
      <c r="AW15" s="1096"/>
      <c r="AX15" s="1096"/>
      <c r="AY15" s="1096"/>
      <c r="AZ15" s="1096"/>
      <c r="BA15" s="1096"/>
      <c r="BB15" s="1096"/>
      <c r="BC15" s="1096"/>
      <c r="BD15" s="1096"/>
      <c r="BE15" s="1096"/>
      <c r="BF15" s="1096"/>
      <c r="BG15" s="1096"/>
      <c r="BH15" s="1096"/>
      <c r="BI15" s="1096"/>
      <c r="BJ15" s="1096"/>
      <c r="BK15" s="1096"/>
      <c r="BL15" s="1096"/>
      <c r="BM15" s="1096"/>
      <c r="BN15" s="1096"/>
      <c r="BO15" s="1096"/>
      <c r="BP15" s="1096"/>
      <c r="BQ15" s="1096"/>
      <c r="BR15" s="1096"/>
      <c r="BS15" s="1096"/>
      <c r="BT15" s="1096"/>
      <c r="BU15" s="1096"/>
    </row>
    <row r="16" spans="1:73" x14ac:dyDescent="0.25">
      <c r="A16" s="1096"/>
      <c r="B16" s="1097"/>
      <c r="C16" s="1096"/>
      <c r="D16" s="1096"/>
      <c r="E16" s="1096"/>
      <c r="F16" s="1096"/>
      <c r="G16" s="1096"/>
      <c r="H16" s="1096"/>
      <c r="I16" s="1096"/>
      <c r="J16" s="1096"/>
      <c r="K16" s="1096"/>
      <c r="L16" s="1096"/>
      <c r="M16" s="1096"/>
      <c r="N16" s="1096"/>
      <c r="O16" s="1096"/>
      <c r="P16" s="1096"/>
      <c r="Q16" s="1096"/>
      <c r="R16" s="1096"/>
      <c r="S16" s="1096"/>
      <c r="T16" s="1096"/>
      <c r="U16" s="1096"/>
      <c r="V16" s="1459">
        <f t="shared" ref="V16:V33" si="4">+V15+0.05</f>
        <v>0.1</v>
      </c>
      <c r="W16" s="1110">
        <f t="shared" ca="1" si="3"/>
        <v>1.1235763930152816</v>
      </c>
      <c r="X16" s="1096"/>
      <c r="Y16" s="1096"/>
      <c r="Z16" s="1096"/>
      <c r="AA16" s="1096"/>
      <c r="AB16" s="1096"/>
      <c r="AC16" s="1096"/>
      <c r="AD16" s="1096"/>
      <c r="AE16" s="1096"/>
      <c r="AF16" s="1096"/>
      <c r="AG16" s="1096"/>
      <c r="AH16" s="1096"/>
      <c r="AI16" s="1096"/>
      <c r="AJ16" s="1096"/>
      <c r="AK16" s="1096"/>
      <c r="AL16" s="1096"/>
      <c r="AM16" s="1096"/>
      <c r="AN16" s="1096"/>
      <c r="AO16" s="1096"/>
      <c r="AP16" s="1096"/>
      <c r="AQ16" s="1096"/>
      <c r="AR16" s="1096"/>
      <c r="AS16" s="1096"/>
      <c r="AT16" s="1096"/>
      <c r="AU16" s="1096"/>
      <c r="AV16" s="1096"/>
      <c r="AW16" s="1096"/>
      <c r="AX16" s="1096"/>
      <c r="AY16" s="1096"/>
      <c r="AZ16" s="1096"/>
      <c r="BA16" s="1096"/>
      <c r="BB16" s="1096"/>
      <c r="BC16" s="1096"/>
      <c r="BD16" s="1096"/>
      <c r="BE16" s="1096"/>
      <c r="BF16" s="1096"/>
      <c r="BG16" s="1096"/>
      <c r="BH16" s="1096"/>
      <c r="BI16" s="1096"/>
      <c r="BJ16" s="1096"/>
      <c r="BK16" s="1096"/>
      <c r="BL16" s="1096"/>
      <c r="BM16" s="1096"/>
      <c r="BN16" s="1096"/>
      <c r="BO16" s="1096"/>
      <c r="BP16" s="1096"/>
      <c r="BQ16" s="1096"/>
      <c r="BR16" s="1096"/>
      <c r="BS16" s="1096"/>
      <c r="BT16" s="1096"/>
      <c r="BU16" s="1096"/>
    </row>
    <row r="17" spans="1:73" x14ac:dyDescent="0.25">
      <c r="A17" s="1096"/>
      <c r="B17" s="1096"/>
      <c r="C17" s="1096"/>
      <c r="D17" s="1096"/>
      <c r="E17" s="1096"/>
      <c r="F17" s="1096"/>
      <c r="G17" s="1096"/>
      <c r="H17" s="1096"/>
      <c r="I17" s="1096"/>
      <c r="J17" s="1096"/>
      <c r="K17" s="1096"/>
      <c r="L17" s="1096"/>
      <c r="M17" s="1096"/>
      <c r="N17" s="1096"/>
      <c r="O17" s="1096"/>
      <c r="P17" s="1096"/>
      <c r="Q17" s="1096"/>
      <c r="R17" s="1096"/>
      <c r="S17" s="1096"/>
      <c r="T17" s="1096"/>
      <c r="U17" s="1096"/>
      <c r="V17" s="1459">
        <f t="shared" si="4"/>
        <v>0.15000000000000002</v>
      </c>
      <c r="W17" s="1110">
        <f t="shared" ca="1" si="3"/>
        <v>1.1282719602125886</v>
      </c>
      <c r="X17" s="1096"/>
      <c r="Y17" s="1096"/>
      <c r="Z17" s="1096"/>
      <c r="AA17" s="1096"/>
      <c r="AB17" s="1096"/>
      <c r="AC17" s="1096"/>
      <c r="AD17" s="1096"/>
      <c r="AE17" s="1096"/>
      <c r="AF17" s="1096"/>
      <c r="AG17" s="1096"/>
      <c r="AH17" s="1096"/>
      <c r="AI17" s="1096"/>
      <c r="AJ17" s="1096"/>
      <c r="AK17" s="1096"/>
      <c r="AL17" s="1096"/>
      <c r="AM17" s="1096"/>
      <c r="AN17" s="1096"/>
      <c r="AO17" s="1096"/>
      <c r="AP17" s="1096"/>
      <c r="AQ17" s="1096"/>
      <c r="AR17" s="1096"/>
      <c r="AS17" s="1096"/>
      <c r="AT17" s="1096"/>
      <c r="AU17" s="1096"/>
      <c r="AV17" s="1096"/>
      <c r="AW17" s="1096"/>
      <c r="AX17" s="1096"/>
      <c r="AY17" s="1096"/>
      <c r="AZ17" s="1096"/>
      <c r="BA17" s="1096"/>
      <c r="BB17" s="1096"/>
      <c r="BC17" s="1096"/>
      <c r="BD17" s="1096"/>
      <c r="BE17" s="1096"/>
      <c r="BF17" s="1096"/>
      <c r="BG17" s="1096"/>
      <c r="BH17" s="1096"/>
      <c r="BI17" s="1096"/>
      <c r="BJ17" s="1096"/>
      <c r="BK17" s="1096"/>
      <c r="BL17" s="1096"/>
      <c r="BM17" s="1096"/>
      <c r="BN17" s="1096"/>
      <c r="BO17" s="1096"/>
      <c r="BP17" s="1096"/>
      <c r="BQ17" s="1096"/>
      <c r="BR17" s="1096"/>
      <c r="BS17" s="1096"/>
      <c r="BT17" s="1096"/>
      <c r="BU17" s="1096"/>
    </row>
    <row r="18" spans="1:73" x14ac:dyDescent="0.25">
      <c r="A18" s="1096"/>
      <c r="B18" s="1096"/>
      <c r="C18" s="1096"/>
      <c r="D18" s="1096"/>
      <c r="E18" s="1096"/>
      <c r="F18" s="1096"/>
      <c r="G18" s="1096"/>
      <c r="H18" s="1096"/>
      <c r="I18" s="1096"/>
      <c r="J18" s="1096"/>
      <c r="K18" s="1096"/>
      <c r="L18" s="1096"/>
      <c r="M18" s="1096"/>
      <c r="N18" s="1096"/>
      <c r="O18" s="1096"/>
      <c r="P18" s="1096"/>
      <c r="Q18" s="1096"/>
      <c r="R18" s="1096"/>
      <c r="S18" s="1096"/>
      <c r="T18" s="1096"/>
      <c r="U18" s="1096"/>
      <c r="V18" s="1459">
        <f t="shared" si="4"/>
        <v>0.2</v>
      </c>
      <c r="W18" s="1110">
        <f t="shared" ca="1" si="3"/>
        <v>1.1321205409870829</v>
      </c>
      <c r="X18" s="1096"/>
      <c r="Y18" s="1096"/>
      <c r="Z18" s="1096"/>
      <c r="AA18" s="1096"/>
      <c r="AB18" s="1096"/>
      <c r="AC18" s="1096"/>
      <c r="AD18" s="1096"/>
      <c r="AE18" s="1096"/>
      <c r="AF18" s="1096"/>
      <c r="AG18" s="1096"/>
      <c r="AH18" s="1096"/>
      <c r="AI18" s="1096"/>
      <c r="AJ18" s="1096"/>
      <c r="AK18" s="1096"/>
      <c r="AL18" s="1096"/>
      <c r="AM18" s="1096"/>
      <c r="AN18" s="1096"/>
      <c r="AO18" s="1096"/>
      <c r="AP18" s="1096"/>
      <c r="AQ18" s="1096"/>
      <c r="AR18" s="1096"/>
      <c r="AS18" s="1096"/>
      <c r="AT18" s="1096"/>
      <c r="AU18" s="1096"/>
      <c r="AV18" s="1096"/>
      <c r="AW18" s="1096"/>
      <c r="AX18" s="1096"/>
      <c r="AY18" s="1096"/>
      <c r="AZ18" s="1096"/>
      <c r="BA18" s="1096"/>
      <c r="BB18" s="1096"/>
      <c r="BC18" s="1096"/>
      <c r="BD18" s="1096"/>
      <c r="BE18" s="1096"/>
      <c r="BF18" s="1096"/>
      <c r="BG18" s="1096"/>
      <c r="BH18" s="1096"/>
      <c r="BI18" s="1096"/>
      <c r="BJ18" s="1096"/>
      <c r="BK18" s="1096"/>
      <c r="BL18" s="1096"/>
      <c r="BM18" s="1096"/>
      <c r="BN18" s="1096"/>
      <c r="BO18" s="1096"/>
      <c r="BP18" s="1096"/>
      <c r="BQ18" s="1096"/>
      <c r="BR18" s="1096"/>
      <c r="BS18" s="1096"/>
      <c r="BT18" s="1096"/>
      <c r="BU18" s="1096"/>
    </row>
    <row r="19" spans="1:73" x14ac:dyDescent="0.25">
      <c r="A19" s="1096"/>
      <c r="B19" s="1096"/>
      <c r="C19" s="1096"/>
      <c r="D19" s="1096"/>
      <c r="E19" s="1096"/>
      <c r="F19" s="1096"/>
      <c r="G19" s="1096"/>
      <c r="H19" s="1096"/>
      <c r="I19" s="1096"/>
      <c r="J19" s="1096"/>
      <c r="K19" s="1096"/>
      <c r="L19" s="1096"/>
      <c r="M19" s="1096"/>
      <c r="N19" s="1096"/>
      <c r="O19" s="1096"/>
      <c r="P19" s="1096"/>
      <c r="Q19" s="1096"/>
      <c r="R19" s="1096"/>
      <c r="S19" s="1096"/>
      <c r="T19" s="1096"/>
      <c r="U19" s="1096"/>
      <c r="V19" s="1459">
        <f t="shared" si="4"/>
        <v>0.25</v>
      </c>
      <c r="W19" s="1110">
        <f t="shared" ca="1" si="3"/>
        <v>1.1352072088532195</v>
      </c>
      <c r="X19" s="1096"/>
      <c r="Y19" s="1096"/>
      <c r="Z19" s="1096"/>
      <c r="AA19" s="1096"/>
      <c r="AB19" s="1096"/>
      <c r="AC19" s="1096"/>
      <c r="AD19" s="1096"/>
      <c r="AE19" s="1096"/>
      <c r="AF19" s="1096"/>
      <c r="AG19" s="1096"/>
      <c r="AH19" s="1096"/>
      <c r="AI19" s="1096"/>
      <c r="AJ19" s="1096"/>
      <c r="AK19" s="1096"/>
      <c r="AL19" s="1096"/>
      <c r="AM19" s="1096"/>
      <c r="AN19" s="1096"/>
      <c r="AO19" s="1096"/>
      <c r="AP19" s="1096"/>
      <c r="AQ19" s="1096"/>
      <c r="AR19" s="1096"/>
      <c r="AS19" s="1096"/>
      <c r="AT19" s="1096"/>
      <c r="AU19" s="1096"/>
      <c r="AV19" s="1096"/>
      <c r="AW19" s="1096"/>
      <c r="AX19" s="1096"/>
      <c r="AY19" s="1096"/>
      <c r="AZ19" s="1096"/>
      <c r="BA19" s="1096"/>
      <c r="BB19" s="1096"/>
      <c r="BC19" s="1096"/>
      <c r="BD19" s="1096"/>
      <c r="BE19" s="1096"/>
      <c r="BF19" s="1096"/>
      <c r="BG19" s="1096"/>
      <c r="BH19" s="1096"/>
      <c r="BI19" s="1096"/>
      <c r="BJ19" s="1096"/>
      <c r="BK19" s="1096"/>
      <c r="BL19" s="1096"/>
      <c r="BM19" s="1096"/>
      <c r="BN19" s="1096"/>
      <c r="BO19" s="1096"/>
      <c r="BP19" s="1096"/>
      <c r="BQ19" s="1096"/>
      <c r="BR19" s="1096"/>
      <c r="BS19" s="1096"/>
      <c r="BT19" s="1096"/>
      <c r="BU19" s="1096"/>
    </row>
    <row r="20" spans="1:73" x14ac:dyDescent="0.25">
      <c r="A20" s="1096"/>
      <c r="B20" s="1096"/>
      <c r="C20" s="1096"/>
      <c r="D20" s="1096"/>
      <c r="E20" s="1096"/>
      <c r="F20" s="1096"/>
      <c r="G20" s="1096"/>
      <c r="H20" s="1096"/>
      <c r="I20" s="1096"/>
      <c r="J20" s="1096"/>
      <c r="K20" s="1096"/>
      <c r="L20" s="1096"/>
      <c r="M20" s="1096"/>
      <c r="N20" s="1096"/>
      <c r="O20" s="1096"/>
      <c r="P20" s="1096"/>
      <c r="Q20" s="1096"/>
      <c r="R20" s="1096"/>
      <c r="S20" s="1096"/>
      <c r="T20" s="1096"/>
      <c r="U20" s="1096"/>
      <c r="V20" s="1459">
        <f t="shared" si="4"/>
        <v>0.3</v>
      </c>
      <c r="W20" s="1110">
        <f t="shared" ca="1" si="3"/>
        <v>1.1379353850401053</v>
      </c>
      <c r="X20" s="1096"/>
      <c r="Y20" s="1096"/>
      <c r="Z20" s="1096"/>
      <c r="AA20" s="1096"/>
      <c r="AB20" s="1096"/>
      <c r="AC20" s="1096"/>
      <c r="AD20" s="1096"/>
      <c r="AE20" s="1096"/>
      <c r="AF20" s="1096"/>
      <c r="AG20" s="1096"/>
      <c r="AH20" s="1096"/>
      <c r="AI20" s="1096"/>
      <c r="AJ20" s="1096"/>
      <c r="AK20" s="1096"/>
      <c r="AL20" s="1096"/>
      <c r="AM20" s="1096"/>
      <c r="AN20" s="1096"/>
      <c r="AO20" s="1096"/>
      <c r="AP20" s="1096"/>
      <c r="AQ20" s="1096"/>
      <c r="AR20" s="1096"/>
      <c r="AS20" s="1096"/>
      <c r="AT20" s="1096"/>
      <c r="AU20" s="1096"/>
      <c r="AV20" s="1096"/>
      <c r="AW20" s="1096"/>
      <c r="AX20" s="1096"/>
      <c r="AY20" s="1096"/>
      <c r="AZ20" s="1096"/>
      <c r="BA20" s="1096"/>
      <c r="BB20" s="1096"/>
      <c r="BC20" s="1096"/>
      <c r="BD20" s="1096"/>
      <c r="BE20" s="1096"/>
      <c r="BF20" s="1096"/>
      <c r="BG20" s="1096"/>
      <c r="BH20" s="1096"/>
      <c r="BI20" s="1096"/>
      <c r="BJ20" s="1096"/>
      <c r="BK20" s="1096"/>
      <c r="BL20" s="1096"/>
      <c r="BM20" s="1096"/>
      <c r="BN20" s="1096"/>
      <c r="BO20" s="1096"/>
      <c r="BP20" s="1096"/>
      <c r="BQ20" s="1096"/>
      <c r="BR20" s="1096"/>
      <c r="BS20" s="1096"/>
      <c r="BT20" s="1096"/>
      <c r="BU20" s="1096"/>
    </row>
    <row r="21" spans="1:73" x14ac:dyDescent="0.25">
      <c r="A21" s="1096"/>
      <c r="B21" s="1096"/>
      <c r="C21" s="1096"/>
      <c r="D21" s="1096"/>
      <c r="E21" s="1096"/>
      <c r="F21" s="1096"/>
      <c r="G21" s="1096"/>
      <c r="H21" s="1096"/>
      <c r="I21" s="1096"/>
      <c r="J21" s="1096"/>
      <c r="K21" s="1096"/>
      <c r="L21" s="1096"/>
      <c r="M21" s="1096"/>
      <c r="N21" s="1096"/>
      <c r="O21" s="1096"/>
      <c r="P21" s="1096"/>
      <c r="Q21" s="1096"/>
      <c r="R21" s="1096"/>
      <c r="S21" s="1096"/>
      <c r="T21" s="1096"/>
      <c r="U21" s="1096"/>
      <c r="V21" s="1459">
        <f t="shared" si="4"/>
        <v>0.35</v>
      </c>
      <c r="W21" s="1110">
        <f t="shared" ca="1" si="3"/>
        <v>1.140675973632445</v>
      </c>
      <c r="X21" s="1096"/>
      <c r="Y21" s="1096"/>
      <c r="Z21" s="1096"/>
      <c r="AA21" s="1096"/>
      <c r="AB21" s="1096"/>
      <c r="AC21" s="1096"/>
      <c r="AD21" s="1096"/>
      <c r="AE21" s="1096"/>
      <c r="AF21" s="1096"/>
      <c r="AG21" s="1096"/>
      <c r="AH21" s="1096"/>
      <c r="AI21" s="1096"/>
      <c r="AJ21" s="1096"/>
      <c r="AK21" s="1096"/>
      <c r="AL21" s="1096"/>
      <c r="AM21" s="1096"/>
      <c r="AN21" s="1096"/>
      <c r="AO21" s="1096"/>
      <c r="AP21" s="1096"/>
      <c r="AQ21" s="1096"/>
      <c r="AR21" s="1096"/>
      <c r="AS21" s="1096"/>
      <c r="AT21" s="1096"/>
      <c r="AU21" s="1096"/>
      <c r="AV21" s="1096"/>
      <c r="AW21" s="1096"/>
      <c r="AX21" s="1096"/>
      <c r="AY21" s="1096"/>
      <c r="AZ21" s="1096"/>
      <c r="BA21" s="1096"/>
      <c r="BB21" s="1096"/>
      <c r="BC21" s="1096"/>
      <c r="BD21" s="1096"/>
      <c r="BE21" s="1096"/>
      <c r="BF21" s="1096"/>
      <c r="BG21" s="1096"/>
      <c r="BH21" s="1096"/>
      <c r="BI21" s="1096"/>
      <c r="BJ21" s="1096"/>
      <c r="BK21" s="1096"/>
      <c r="BL21" s="1096"/>
      <c r="BM21" s="1096"/>
      <c r="BN21" s="1096"/>
      <c r="BO21" s="1096"/>
      <c r="BP21" s="1096"/>
      <c r="BQ21" s="1096"/>
      <c r="BR21" s="1096"/>
      <c r="BS21" s="1096"/>
      <c r="BT21" s="1096"/>
      <c r="BU21" s="1096"/>
    </row>
    <row r="22" spans="1:73" x14ac:dyDescent="0.25">
      <c r="A22" s="1096"/>
      <c r="B22" s="1096"/>
      <c r="C22" s="1096"/>
      <c r="D22" s="1096"/>
      <c r="E22" s="1096"/>
      <c r="F22" s="1096"/>
      <c r="G22" s="1096"/>
      <c r="H22" s="1096"/>
      <c r="I22" s="1096"/>
      <c r="J22" s="1096"/>
      <c r="K22" s="1096"/>
      <c r="L22" s="1096"/>
      <c r="M22" s="1096"/>
      <c r="N22" s="1096"/>
      <c r="O22" s="1096"/>
      <c r="P22" s="1096"/>
      <c r="Q22" s="1096"/>
      <c r="R22" s="1096"/>
      <c r="S22" s="1096"/>
      <c r="T22" s="1096"/>
      <c r="U22" s="1096"/>
      <c r="V22" s="1459">
        <f t="shared" si="4"/>
        <v>0.39999999999999997</v>
      </c>
      <c r="W22" s="1110">
        <f t="shared" ca="1" si="3"/>
        <v>1.1433025444220051</v>
      </c>
      <c r="X22" s="1096"/>
      <c r="Y22" s="1096"/>
      <c r="Z22" s="1096"/>
      <c r="AA22" s="1096"/>
      <c r="AB22" s="1096"/>
      <c r="AC22" s="1096"/>
      <c r="AD22" s="1096"/>
      <c r="AE22" s="1096"/>
      <c r="AF22" s="1096"/>
      <c r="AG22" s="1096"/>
      <c r="AH22" s="1096"/>
      <c r="AI22" s="1096"/>
      <c r="AJ22" s="1096"/>
      <c r="AK22" s="1096"/>
      <c r="AL22" s="1096"/>
      <c r="AM22" s="1096"/>
      <c r="AN22" s="1096"/>
      <c r="AO22" s="1096"/>
      <c r="AP22" s="1096"/>
      <c r="AQ22" s="1096"/>
      <c r="AR22" s="1096"/>
      <c r="AS22" s="1096"/>
      <c r="AT22" s="1096"/>
      <c r="AU22" s="1096"/>
      <c r="AV22" s="1096"/>
      <c r="AW22" s="1096"/>
      <c r="AX22" s="1096"/>
      <c r="AY22" s="1096"/>
      <c r="AZ22" s="1096"/>
      <c r="BA22" s="1096"/>
      <c r="BB22" s="1096"/>
      <c r="BC22" s="1096"/>
      <c r="BD22" s="1096"/>
      <c r="BE22" s="1096"/>
      <c r="BF22" s="1096"/>
      <c r="BG22" s="1096"/>
      <c r="BH22" s="1096"/>
      <c r="BI22" s="1096"/>
      <c r="BJ22" s="1096"/>
      <c r="BK22" s="1096"/>
      <c r="BL22" s="1096"/>
      <c r="BM22" s="1096"/>
      <c r="BN22" s="1096"/>
      <c r="BO22" s="1096"/>
      <c r="BP22" s="1096"/>
      <c r="BQ22" s="1096"/>
      <c r="BR22" s="1096"/>
      <c r="BS22" s="1096"/>
      <c r="BT22" s="1096"/>
      <c r="BU22" s="1096"/>
    </row>
    <row r="23" spans="1:73" x14ac:dyDescent="0.25">
      <c r="A23" s="1096"/>
      <c r="B23" s="1096"/>
      <c r="C23" s="1096"/>
      <c r="D23" s="1096"/>
      <c r="E23" s="1096"/>
      <c r="F23" s="1096"/>
      <c r="G23" s="1096"/>
      <c r="H23" s="1096"/>
      <c r="I23" s="1096"/>
      <c r="J23" s="1096"/>
      <c r="K23" s="1096"/>
      <c r="L23" s="1096"/>
      <c r="M23" s="1096"/>
      <c r="N23" s="1096"/>
      <c r="O23" s="1096"/>
      <c r="P23" s="1096"/>
      <c r="Q23" s="1096"/>
      <c r="R23" s="1096"/>
      <c r="S23" s="1096"/>
      <c r="T23" s="1096"/>
      <c r="U23" s="1096"/>
      <c r="V23" s="1459">
        <f t="shared" si="4"/>
        <v>0.44999999999999996</v>
      </c>
      <c r="W23" s="1110">
        <f t="shared" ca="1" si="3"/>
        <v>1.1459710466328408</v>
      </c>
      <c r="X23" s="1096"/>
      <c r="Y23" s="1096"/>
      <c r="Z23" s="1096"/>
      <c r="AA23" s="1096"/>
      <c r="AB23" s="1096"/>
      <c r="AC23" s="1096"/>
      <c r="AD23" s="1096"/>
      <c r="AE23" s="1096"/>
      <c r="AF23" s="1096"/>
      <c r="AG23" s="1096"/>
      <c r="AH23" s="1096"/>
      <c r="AI23" s="1096"/>
      <c r="AJ23" s="1096"/>
      <c r="AK23" s="1096"/>
      <c r="AL23" s="1096"/>
      <c r="AM23" s="1096"/>
      <c r="AN23" s="1096"/>
      <c r="AO23" s="1096"/>
      <c r="AP23" s="1096"/>
      <c r="AQ23" s="1096"/>
      <c r="AR23" s="1096"/>
      <c r="AS23" s="1096"/>
      <c r="AT23" s="1096"/>
      <c r="AU23" s="1096"/>
      <c r="AV23" s="1096"/>
      <c r="AW23" s="1096"/>
      <c r="AX23" s="1096"/>
      <c r="AY23" s="1096"/>
      <c r="AZ23" s="1096"/>
      <c r="BA23" s="1096"/>
      <c r="BB23" s="1096"/>
      <c r="BC23" s="1096"/>
      <c r="BD23" s="1096"/>
      <c r="BE23" s="1096"/>
      <c r="BF23" s="1096"/>
      <c r="BG23" s="1096"/>
      <c r="BH23" s="1096"/>
      <c r="BI23" s="1096"/>
      <c r="BJ23" s="1096"/>
      <c r="BK23" s="1096"/>
      <c r="BL23" s="1096"/>
      <c r="BM23" s="1096"/>
      <c r="BN23" s="1096"/>
      <c r="BO23" s="1096"/>
      <c r="BP23" s="1096"/>
      <c r="BQ23" s="1096"/>
      <c r="BR23" s="1096"/>
      <c r="BS23" s="1096"/>
      <c r="BT23" s="1096"/>
      <c r="BU23" s="1096"/>
    </row>
    <row r="24" spans="1:73" x14ac:dyDescent="0.25">
      <c r="A24" s="1096"/>
      <c r="B24" s="1096"/>
      <c r="C24" s="1096"/>
      <c r="D24" s="1096"/>
      <c r="E24" s="1096"/>
      <c r="F24" s="1096"/>
      <c r="G24" s="1096"/>
      <c r="H24" s="1096"/>
      <c r="I24" s="1096"/>
      <c r="J24" s="1096"/>
      <c r="K24" s="1096"/>
      <c r="L24" s="1096"/>
      <c r="M24" s="1096"/>
      <c r="N24" s="1096"/>
      <c r="O24" s="1096"/>
      <c r="P24" s="1096"/>
      <c r="Q24" s="1096"/>
      <c r="R24" s="1096"/>
      <c r="S24" s="1096"/>
      <c r="T24" s="1096"/>
      <c r="U24" s="1096"/>
      <c r="V24" s="1460">
        <f t="shared" si="4"/>
        <v>0.49999999999999994</v>
      </c>
      <c r="W24" s="1461">
        <f t="shared" ca="1" si="3"/>
        <v>1.1479237591633391</v>
      </c>
      <c r="X24" s="1096"/>
      <c r="Y24" s="1096"/>
      <c r="Z24" s="1096"/>
      <c r="AA24" s="1096"/>
      <c r="AB24" s="1096"/>
      <c r="AC24" s="1096"/>
      <c r="AD24" s="1096"/>
      <c r="AE24" s="1096"/>
      <c r="AF24" s="1096"/>
      <c r="AG24" s="1096"/>
      <c r="AH24" s="1096"/>
      <c r="AI24" s="1096"/>
      <c r="AJ24" s="1096"/>
      <c r="AK24" s="1096"/>
      <c r="AL24" s="1096"/>
      <c r="AM24" s="1096"/>
      <c r="AN24" s="1096"/>
      <c r="AO24" s="1096"/>
      <c r="AP24" s="1096"/>
      <c r="AQ24" s="1096"/>
      <c r="AR24" s="1096"/>
      <c r="AS24" s="1096"/>
      <c r="AT24" s="1096"/>
      <c r="AU24" s="1096"/>
      <c r="AV24" s="1096"/>
      <c r="AW24" s="1096"/>
      <c r="AX24" s="1096"/>
      <c r="AY24" s="1096"/>
      <c r="AZ24" s="1096"/>
      <c r="BA24" s="1096"/>
      <c r="BB24" s="1096"/>
      <c r="BC24" s="1096"/>
      <c r="BD24" s="1096"/>
      <c r="BE24" s="1096"/>
      <c r="BF24" s="1096"/>
      <c r="BG24" s="1096"/>
      <c r="BH24" s="1096"/>
      <c r="BI24" s="1096"/>
      <c r="BJ24" s="1096"/>
      <c r="BK24" s="1096"/>
      <c r="BL24" s="1096"/>
      <c r="BM24" s="1096"/>
      <c r="BN24" s="1096"/>
      <c r="BO24" s="1096"/>
      <c r="BP24" s="1096"/>
      <c r="BQ24" s="1096"/>
      <c r="BR24" s="1096"/>
      <c r="BS24" s="1096"/>
      <c r="BT24" s="1096"/>
      <c r="BU24" s="1096"/>
    </row>
    <row r="25" spans="1:73" x14ac:dyDescent="0.25">
      <c r="A25" s="1096"/>
      <c r="B25" s="1096"/>
      <c r="C25" s="1096"/>
      <c r="D25" s="1096"/>
      <c r="E25" s="1096"/>
      <c r="F25" s="1096"/>
      <c r="G25" s="1096"/>
      <c r="H25" s="1096"/>
      <c r="I25" s="1096"/>
      <c r="J25" s="1096"/>
      <c r="K25" s="1096"/>
      <c r="L25" s="1096"/>
      <c r="M25" s="1096"/>
      <c r="N25" s="1096"/>
      <c r="O25" s="1096"/>
      <c r="P25" s="1096"/>
      <c r="Q25" s="1096"/>
      <c r="R25" s="1096"/>
      <c r="S25" s="1096"/>
      <c r="T25" s="1096"/>
      <c r="U25" s="1096"/>
      <c r="V25" s="1459">
        <f t="shared" si="4"/>
        <v>0.54999999999999993</v>
      </c>
      <c r="W25" s="1110">
        <f t="shared" ca="1" si="3"/>
        <v>1.1504226600828875</v>
      </c>
      <c r="X25" s="1096"/>
      <c r="Y25" s="1096"/>
      <c r="Z25" s="1096"/>
      <c r="AA25" s="1096"/>
      <c r="AB25" s="1096"/>
      <c r="AC25" s="1096"/>
      <c r="AD25" s="1096"/>
      <c r="AE25" s="1096"/>
      <c r="AF25" s="1096"/>
      <c r="AG25" s="1096"/>
      <c r="AH25" s="1096"/>
      <c r="AI25" s="1096"/>
      <c r="AJ25" s="1096"/>
      <c r="AK25" s="1096"/>
      <c r="AL25" s="1096"/>
      <c r="AM25" s="1096"/>
      <c r="AN25" s="1096"/>
      <c r="AO25" s="1096"/>
      <c r="AP25" s="1096"/>
      <c r="AQ25" s="1096"/>
      <c r="AR25" s="1096"/>
      <c r="AS25" s="1096"/>
      <c r="AT25" s="1096"/>
      <c r="AU25" s="1096"/>
      <c r="AV25" s="1096"/>
      <c r="AW25" s="1096"/>
      <c r="AX25" s="1096"/>
      <c r="AY25" s="1096"/>
      <c r="AZ25" s="1096"/>
      <c r="BA25" s="1096"/>
      <c r="BB25" s="1096"/>
      <c r="BC25" s="1096"/>
      <c r="BD25" s="1096"/>
      <c r="BE25" s="1096"/>
      <c r="BF25" s="1096"/>
      <c r="BG25" s="1096"/>
      <c r="BH25" s="1096"/>
      <c r="BI25" s="1096"/>
      <c r="BJ25" s="1096"/>
      <c r="BK25" s="1096"/>
      <c r="BL25" s="1096"/>
      <c r="BM25" s="1096"/>
      <c r="BN25" s="1096"/>
      <c r="BO25" s="1096"/>
      <c r="BP25" s="1096"/>
      <c r="BQ25" s="1096"/>
      <c r="BR25" s="1096"/>
      <c r="BS25" s="1096"/>
      <c r="BT25" s="1096"/>
      <c r="BU25" s="1096"/>
    </row>
    <row r="26" spans="1:73" x14ac:dyDescent="0.25">
      <c r="A26" s="1096"/>
      <c r="B26" s="1096"/>
      <c r="C26" s="1096"/>
      <c r="D26" s="1096"/>
      <c r="E26" s="1096"/>
      <c r="F26" s="1096"/>
      <c r="G26" s="1096"/>
      <c r="H26" s="1096"/>
      <c r="I26" s="1096"/>
      <c r="J26" s="1096"/>
      <c r="K26" s="1096"/>
      <c r="L26" s="1096"/>
      <c r="M26" s="1096"/>
      <c r="N26" s="1096"/>
      <c r="O26" s="1096"/>
      <c r="P26" s="1096"/>
      <c r="Q26" s="1096"/>
      <c r="R26" s="1096"/>
      <c r="S26" s="1096"/>
      <c r="T26" s="1096"/>
      <c r="U26" s="1096"/>
      <c r="V26" s="1459">
        <f t="shared" si="4"/>
        <v>0.6</v>
      </c>
      <c r="W26" s="1110">
        <f t="shared" ca="1" si="3"/>
        <v>1.1527289144545134</v>
      </c>
      <c r="X26" s="1096"/>
      <c r="Y26" s="1096"/>
      <c r="Z26" s="1096"/>
      <c r="AA26" s="1096"/>
      <c r="AB26" s="1096"/>
      <c r="AC26" s="1096"/>
      <c r="AD26" s="1096"/>
      <c r="AE26" s="1096"/>
      <c r="AF26" s="1096"/>
      <c r="AG26" s="1096"/>
      <c r="AH26" s="1096"/>
      <c r="AI26" s="1096"/>
      <c r="AJ26" s="1096"/>
      <c r="AK26" s="1096"/>
      <c r="AL26" s="1096"/>
      <c r="AM26" s="1096"/>
      <c r="AN26" s="1096"/>
      <c r="AO26" s="1096"/>
      <c r="AP26" s="1096"/>
      <c r="AQ26" s="1096"/>
      <c r="AR26" s="1096"/>
      <c r="AS26" s="1096"/>
      <c r="AT26" s="1096"/>
      <c r="AU26" s="1096"/>
      <c r="AV26" s="1096"/>
      <c r="AW26" s="1096"/>
      <c r="AX26" s="1096"/>
      <c r="AY26" s="1096"/>
      <c r="AZ26" s="1096"/>
      <c r="BA26" s="1096"/>
      <c r="BB26" s="1096"/>
      <c r="BC26" s="1096"/>
      <c r="BD26" s="1096"/>
      <c r="BE26" s="1096"/>
      <c r="BF26" s="1096"/>
      <c r="BG26" s="1096"/>
      <c r="BH26" s="1096"/>
      <c r="BI26" s="1096"/>
      <c r="BJ26" s="1096"/>
      <c r="BK26" s="1096"/>
      <c r="BL26" s="1096"/>
      <c r="BM26" s="1096"/>
      <c r="BN26" s="1096"/>
      <c r="BO26" s="1096"/>
      <c r="BP26" s="1096"/>
      <c r="BQ26" s="1096"/>
      <c r="BR26" s="1096"/>
      <c r="BS26" s="1096"/>
      <c r="BT26" s="1096"/>
      <c r="BU26" s="1096"/>
    </row>
    <row r="27" spans="1:73" x14ac:dyDescent="0.25">
      <c r="A27" s="1096"/>
      <c r="B27" s="1096"/>
      <c r="C27" s="1096"/>
      <c r="D27" s="1096"/>
      <c r="E27" s="1096"/>
      <c r="F27" s="1096"/>
      <c r="G27" s="1096"/>
      <c r="H27" s="1096"/>
      <c r="I27" s="1096"/>
      <c r="J27" s="1096"/>
      <c r="K27" s="1096"/>
      <c r="L27" s="1096"/>
      <c r="M27" s="1096"/>
      <c r="N27" s="1096"/>
      <c r="O27" s="1096"/>
      <c r="P27" s="1096"/>
      <c r="Q27" s="1096"/>
      <c r="R27" s="1096"/>
      <c r="S27" s="1096"/>
      <c r="T27" s="1096"/>
      <c r="U27" s="1096"/>
      <c r="V27" s="1459">
        <f t="shared" si="4"/>
        <v>0.65</v>
      </c>
      <c r="W27" s="1110">
        <f t="shared" ca="1" si="3"/>
        <v>1.1553501045566783</v>
      </c>
      <c r="X27" s="1096"/>
      <c r="Y27" s="1096"/>
      <c r="Z27" s="1096"/>
      <c r="AA27" s="1096"/>
      <c r="AB27" s="1096"/>
      <c r="AC27" s="1096"/>
      <c r="AD27" s="1096"/>
      <c r="AE27" s="1096"/>
      <c r="AF27" s="1096"/>
      <c r="AG27" s="1096"/>
      <c r="AH27" s="1096"/>
      <c r="AI27" s="1096"/>
      <c r="AJ27" s="1096"/>
      <c r="AK27" s="1096"/>
      <c r="AL27" s="1096"/>
      <c r="AM27" s="1096"/>
      <c r="AN27" s="1096"/>
      <c r="AO27" s="1096"/>
      <c r="AP27" s="1096"/>
      <c r="AQ27" s="1096"/>
      <c r="AR27" s="1096"/>
      <c r="AS27" s="1096"/>
      <c r="AT27" s="1096"/>
      <c r="AU27" s="1096"/>
      <c r="AV27" s="1096"/>
      <c r="AW27" s="1096"/>
      <c r="AX27" s="1096"/>
      <c r="AY27" s="1096"/>
      <c r="AZ27" s="1096"/>
      <c r="BA27" s="1096"/>
      <c r="BB27" s="1096"/>
      <c r="BC27" s="1096"/>
      <c r="BD27" s="1096"/>
      <c r="BE27" s="1096"/>
      <c r="BF27" s="1096"/>
      <c r="BG27" s="1096"/>
      <c r="BH27" s="1096"/>
      <c r="BI27" s="1096"/>
      <c r="BJ27" s="1096"/>
      <c r="BK27" s="1096"/>
      <c r="BL27" s="1096"/>
      <c r="BM27" s="1096"/>
      <c r="BN27" s="1096"/>
      <c r="BO27" s="1096"/>
      <c r="BP27" s="1096"/>
      <c r="BQ27" s="1096"/>
      <c r="BR27" s="1096"/>
      <c r="BS27" s="1096"/>
      <c r="BT27" s="1096"/>
      <c r="BU27" s="1096"/>
    </row>
    <row r="28" spans="1:73" x14ac:dyDescent="0.25">
      <c r="A28" s="1096"/>
      <c r="B28" s="1096"/>
      <c r="C28" s="1096"/>
      <c r="D28" s="1096"/>
      <c r="E28" s="1096"/>
      <c r="F28" s="1096"/>
      <c r="G28" s="1096"/>
      <c r="H28" s="1096"/>
      <c r="I28" s="1096"/>
      <c r="J28" s="1096"/>
      <c r="K28" s="1096"/>
      <c r="L28" s="1096"/>
      <c r="M28" s="1096"/>
      <c r="N28" s="1096"/>
      <c r="O28" s="1096"/>
      <c r="P28" s="1096"/>
      <c r="Q28" s="1096"/>
      <c r="R28" s="1096"/>
      <c r="S28" s="1096"/>
      <c r="T28" s="1096"/>
      <c r="U28" s="1096"/>
      <c r="V28" s="1459">
        <f t="shared" si="4"/>
        <v>0.70000000000000007</v>
      </c>
      <c r="W28" s="1110">
        <f t="shared" ca="1" si="3"/>
        <v>1.1580939274471118</v>
      </c>
      <c r="X28" s="1096"/>
      <c r="Y28" s="1096"/>
      <c r="Z28" s="1096"/>
      <c r="AA28" s="1096"/>
      <c r="AB28" s="1096"/>
      <c r="AC28" s="1096"/>
      <c r="AD28" s="1096"/>
      <c r="AE28" s="1096"/>
      <c r="AF28" s="1096"/>
      <c r="AG28" s="1096"/>
      <c r="AH28" s="1096"/>
      <c r="AI28" s="1096"/>
      <c r="AJ28" s="1096"/>
      <c r="AK28" s="1096"/>
      <c r="AL28" s="1096"/>
      <c r="AM28" s="1096"/>
      <c r="AN28" s="1096"/>
      <c r="AO28" s="1096"/>
      <c r="AP28" s="1096"/>
      <c r="AQ28" s="1096"/>
      <c r="AR28" s="1096"/>
      <c r="AS28" s="1096"/>
      <c r="AT28" s="1096"/>
      <c r="AU28" s="1096"/>
      <c r="AV28" s="1096"/>
      <c r="AW28" s="1096"/>
      <c r="AX28" s="1096"/>
      <c r="AY28" s="1096"/>
      <c r="AZ28" s="1096"/>
      <c r="BA28" s="1096"/>
      <c r="BB28" s="1096"/>
      <c r="BC28" s="1096"/>
      <c r="BD28" s="1096"/>
      <c r="BE28" s="1096"/>
      <c r="BF28" s="1096"/>
      <c r="BG28" s="1096"/>
      <c r="BH28" s="1096"/>
      <c r="BI28" s="1096"/>
      <c r="BJ28" s="1096"/>
      <c r="BK28" s="1096"/>
      <c r="BL28" s="1096"/>
      <c r="BM28" s="1096"/>
      <c r="BN28" s="1096"/>
      <c r="BO28" s="1096"/>
      <c r="BP28" s="1096"/>
      <c r="BQ28" s="1096"/>
      <c r="BR28" s="1096"/>
      <c r="BS28" s="1096"/>
      <c r="BT28" s="1096"/>
      <c r="BU28" s="1096"/>
    </row>
    <row r="29" spans="1:73" x14ac:dyDescent="0.25">
      <c r="A29" s="1096"/>
      <c r="B29" s="1096"/>
      <c r="C29" s="1096"/>
      <c r="D29" s="1096"/>
      <c r="E29" s="1096"/>
      <c r="F29" s="1096"/>
      <c r="G29" s="1096"/>
      <c r="H29" s="1096"/>
      <c r="I29" s="1096"/>
      <c r="J29" s="1096"/>
      <c r="K29" s="1096"/>
      <c r="L29" s="1096"/>
      <c r="M29" s="1096"/>
      <c r="N29" s="1096"/>
      <c r="O29" s="1096"/>
      <c r="P29" s="1096"/>
      <c r="Q29" s="1096"/>
      <c r="R29" s="1096"/>
      <c r="S29" s="1096"/>
      <c r="T29" s="1096"/>
      <c r="U29" s="1096"/>
      <c r="V29" s="1459">
        <f t="shared" si="4"/>
        <v>0.75000000000000011</v>
      </c>
      <c r="W29" s="1110">
        <f t="shared" ca="1" si="3"/>
        <v>1.1611298043359444</v>
      </c>
      <c r="X29" s="1096"/>
      <c r="Y29" s="1096"/>
      <c r="Z29" s="1096"/>
      <c r="AA29" s="1096"/>
      <c r="AB29" s="1096"/>
      <c r="AC29" s="1096"/>
      <c r="AD29" s="1096"/>
      <c r="AE29" s="1096"/>
      <c r="AF29" s="1096"/>
      <c r="AG29" s="1096"/>
      <c r="AH29" s="1096"/>
      <c r="AI29" s="1096"/>
      <c r="AJ29" s="1096"/>
      <c r="AK29" s="1096"/>
      <c r="AL29" s="1096"/>
      <c r="AM29" s="1096"/>
      <c r="AN29" s="1096"/>
      <c r="AO29" s="1096"/>
      <c r="AP29" s="1096"/>
      <c r="AQ29" s="1096"/>
      <c r="AR29" s="1096"/>
      <c r="AS29" s="1096"/>
      <c r="AT29" s="1096"/>
      <c r="AU29" s="1096"/>
      <c r="AV29" s="1096"/>
      <c r="AW29" s="1096"/>
      <c r="AX29" s="1096"/>
      <c r="AY29" s="1096"/>
      <c r="AZ29" s="1096"/>
      <c r="BA29" s="1096"/>
      <c r="BB29" s="1096"/>
      <c r="BC29" s="1096"/>
      <c r="BD29" s="1096"/>
      <c r="BE29" s="1096"/>
      <c r="BF29" s="1096"/>
      <c r="BG29" s="1096"/>
      <c r="BH29" s="1096"/>
      <c r="BI29" s="1096"/>
      <c r="BJ29" s="1096"/>
      <c r="BK29" s="1096"/>
      <c r="BL29" s="1096"/>
      <c r="BM29" s="1096"/>
      <c r="BN29" s="1096"/>
      <c r="BO29" s="1096"/>
      <c r="BP29" s="1096"/>
      <c r="BQ29" s="1096"/>
      <c r="BR29" s="1096"/>
      <c r="BS29" s="1096"/>
      <c r="BT29" s="1096"/>
      <c r="BU29" s="1096"/>
    </row>
    <row r="30" spans="1:73" x14ac:dyDescent="0.25">
      <c r="A30" s="1096"/>
      <c r="B30" s="1096"/>
      <c r="C30" s="1096"/>
      <c r="D30" s="1096"/>
      <c r="E30" s="1096"/>
      <c r="F30" s="1097"/>
      <c r="G30" s="1096"/>
      <c r="H30" s="1096"/>
      <c r="I30" s="1096"/>
      <c r="J30" s="1096"/>
      <c r="K30" s="1096"/>
      <c r="L30" s="1096"/>
      <c r="M30" s="1096"/>
      <c r="N30" s="1096"/>
      <c r="O30" s="1096"/>
      <c r="P30" s="1096"/>
      <c r="Q30" s="1096"/>
      <c r="R30" s="1096"/>
      <c r="S30" s="1096"/>
      <c r="T30" s="1096"/>
      <c r="U30" s="1096"/>
      <c r="V30" s="1459">
        <f t="shared" si="4"/>
        <v>0.80000000000000016</v>
      </c>
      <c r="W30" s="1110">
        <f t="shared" ca="1" si="3"/>
        <v>1.1646816488287277</v>
      </c>
      <c r="X30" s="1096"/>
      <c r="Y30" s="1096"/>
      <c r="Z30" s="1096"/>
      <c r="AA30" s="1096"/>
      <c r="AB30" s="1096"/>
      <c r="AC30" s="1096"/>
      <c r="AD30" s="1096"/>
      <c r="AE30" s="1096"/>
      <c r="AF30" s="1096"/>
      <c r="AG30" s="1096"/>
      <c r="AH30" s="1096"/>
      <c r="AI30" s="1096"/>
      <c r="AJ30" s="1096"/>
      <c r="AK30" s="1096"/>
      <c r="AL30" s="1096"/>
      <c r="AM30" s="1096"/>
      <c r="AN30" s="1096"/>
      <c r="AO30" s="1096"/>
      <c r="AP30" s="1096"/>
      <c r="AQ30" s="1096"/>
      <c r="AR30" s="1096"/>
      <c r="AS30" s="1096"/>
      <c r="AT30" s="1096"/>
      <c r="AU30" s="1096"/>
      <c r="AV30" s="1096"/>
      <c r="AW30" s="1096"/>
      <c r="AX30" s="1096"/>
      <c r="AY30" s="1096"/>
      <c r="AZ30" s="1096"/>
      <c r="BA30" s="1096"/>
      <c r="BB30" s="1096"/>
      <c r="BC30" s="1096"/>
      <c r="BD30" s="1096"/>
      <c r="BE30" s="1096"/>
      <c r="BF30" s="1096"/>
      <c r="BG30" s="1096"/>
      <c r="BH30" s="1096"/>
      <c r="BI30" s="1096"/>
      <c r="BJ30" s="1096"/>
      <c r="BK30" s="1096"/>
      <c r="BL30" s="1096"/>
      <c r="BM30" s="1096"/>
      <c r="BN30" s="1096"/>
      <c r="BO30" s="1096"/>
      <c r="BP30" s="1096"/>
      <c r="BQ30" s="1096"/>
      <c r="BR30" s="1096"/>
      <c r="BS30" s="1096"/>
      <c r="BT30" s="1096"/>
      <c r="BU30" s="1096"/>
    </row>
    <row r="31" spans="1:73" x14ac:dyDescent="0.25">
      <c r="A31" s="1096"/>
      <c r="B31" s="1096"/>
      <c r="C31" s="1096"/>
      <c r="D31" s="1096"/>
      <c r="E31" s="1096"/>
      <c r="F31" s="1096"/>
      <c r="G31" s="1096"/>
      <c r="H31" s="1096"/>
      <c r="I31" s="1096"/>
      <c r="J31" s="1096"/>
      <c r="K31" s="1096"/>
      <c r="L31" s="1096"/>
      <c r="M31" s="1096"/>
      <c r="N31" s="1096"/>
      <c r="O31" s="1096"/>
      <c r="P31" s="1096"/>
      <c r="Q31" s="1096"/>
      <c r="R31" s="1096"/>
      <c r="S31" s="1096"/>
      <c r="T31" s="1096"/>
      <c r="U31" s="1096"/>
      <c r="V31" s="1459">
        <f t="shared" si="4"/>
        <v>0.8500000000000002</v>
      </c>
      <c r="W31" s="1110">
        <f t="shared" ca="1" si="3"/>
        <v>1.1683605030486777</v>
      </c>
      <c r="X31" s="1096"/>
      <c r="Y31" s="1096"/>
      <c r="Z31" s="1096"/>
      <c r="AA31" s="1096"/>
      <c r="AB31" s="1096"/>
      <c r="AC31" s="1096"/>
      <c r="AD31" s="1096"/>
      <c r="AE31" s="1096"/>
      <c r="AF31" s="1096"/>
      <c r="AG31" s="1096"/>
      <c r="AH31" s="1096"/>
      <c r="AI31" s="1096"/>
      <c r="AJ31" s="1096"/>
      <c r="AK31" s="1096"/>
      <c r="AL31" s="1096"/>
      <c r="AM31" s="1096"/>
      <c r="AN31" s="1096"/>
      <c r="AO31" s="1096"/>
      <c r="AP31" s="1096"/>
      <c r="AQ31" s="1096"/>
      <c r="AR31" s="1096"/>
      <c r="AS31" s="1096"/>
      <c r="AT31" s="1096"/>
      <c r="AU31" s="1096"/>
      <c r="AV31" s="1096"/>
      <c r="AW31" s="1096"/>
      <c r="AX31" s="1096"/>
      <c r="AY31" s="1096"/>
      <c r="AZ31" s="1096"/>
      <c r="BA31" s="1096"/>
      <c r="BB31" s="1096"/>
      <c r="BC31" s="1096"/>
      <c r="BD31" s="1096"/>
      <c r="BE31" s="1096"/>
      <c r="BF31" s="1096"/>
      <c r="BG31" s="1096"/>
      <c r="BH31" s="1096"/>
      <c r="BI31" s="1096"/>
      <c r="BJ31" s="1096"/>
      <c r="BK31" s="1096"/>
      <c r="BL31" s="1096"/>
      <c r="BM31" s="1096"/>
      <c r="BN31" s="1096"/>
      <c r="BO31" s="1096"/>
      <c r="BP31" s="1096"/>
      <c r="BQ31" s="1096"/>
      <c r="BR31" s="1096"/>
      <c r="BS31" s="1096"/>
      <c r="BT31" s="1096"/>
      <c r="BU31" s="1096"/>
    </row>
    <row r="32" spans="1:73" x14ac:dyDescent="0.25">
      <c r="A32" s="1096"/>
      <c r="B32" s="1096"/>
      <c r="C32" s="1096"/>
      <c r="D32" s="1096"/>
      <c r="E32" s="1096"/>
      <c r="F32" s="1096"/>
      <c r="G32" s="1096"/>
      <c r="H32" s="1096"/>
      <c r="I32" s="1096"/>
      <c r="J32" s="1096"/>
      <c r="K32" s="1096"/>
      <c r="L32" s="1096"/>
      <c r="M32" s="1096"/>
      <c r="N32" s="1096"/>
      <c r="O32" s="1096"/>
      <c r="P32" s="1096"/>
      <c r="Q32" s="1096"/>
      <c r="R32" s="1096"/>
      <c r="S32" s="1096"/>
      <c r="T32" s="1096"/>
      <c r="U32" s="1096"/>
      <c r="V32" s="1459">
        <f t="shared" si="4"/>
        <v>0.90000000000000024</v>
      </c>
      <c r="W32" s="1110">
        <f t="shared" ca="1" si="3"/>
        <v>1.172992703223205</v>
      </c>
      <c r="X32" s="1096"/>
      <c r="Y32" s="1096"/>
      <c r="Z32" s="1096"/>
      <c r="AA32" s="1096"/>
      <c r="AB32" s="1096"/>
      <c r="AC32" s="1096"/>
      <c r="AD32" s="1096"/>
      <c r="AE32" s="1096"/>
      <c r="AF32" s="1096"/>
      <c r="AG32" s="1096"/>
      <c r="AH32" s="1096"/>
      <c r="AI32" s="1096"/>
      <c r="AJ32" s="1096"/>
      <c r="AK32" s="1096"/>
      <c r="AL32" s="1096"/>
      <c r="AM32" s="1096"/>
      <c r="AN32" s="1096"/>
      <c r="AO32" s="1096"/>
      <c r="AP32" s="1096"/>
      <c r="AQ32" s="1096"/>
      <c r="AR32" s="1096"/>
      <c r="AS32" s="1096"/>
      <c r="AT32" s="1096"/>
      <c r="AU32" s="1096"/>
      <c r="AV32" s="1096"/>
      <c r="AW32" s="1096"/>
      <c r="AX32" s="1096"/>
      <c r="AY32" s="1096"/>
      <c r="AZ32" s="1096"/>
      <c r="BA32" s="1096"/>
      <c r="BB32" s="1096"/>
      <c r="BC32" s="1096"/>
      <c r="BD32" s="1096"/>
      <c r="BE32" s="1096"/>
      <c r="BF32" s="1096"/>
      <c r="BG32" s="1096"/>
      <c r="BH32" s="1096"/>
      <c r="BI32" s="1096"/>
      <c r="BJ32" s="1096"/>
      <c r="BK32" s="1096"/>
      <c r="BL32" s="1096"/>
      <c r="BM32" s="1096"/>
      <c r="BN32" s="1096"/>
      <c r="BO32" s="1096"/>
      <c r="BP32" s="1096"/>
      <c r="BQ32" s="1096"/>
      <c r="BR32" s="1096"/>
      <c r="BS32" s="1096"/>
      <c r="BT32" s="1096"/>
      <c r="BU32" s="1096"/>
    </row>
    <row r="33" spans="1:73" x14ac:dyDescent="0.25">
      <c r="A33" s="1096"/>
      <c r="B33" s="1096"/>
      <c r="C33" s="1096"/>
      <c r="D33" s="1096"/>
      <c r="E33" s="1096"/>
      <c r="F33" s="1096"/>
      <c r="G33" s="1096"/>
      <c r="H33" s="1096"/>
      <c r="I33" s="1096"/>
      <c r="J33" s="1096"/>
      <c r="K33" s="1096"/>
      <c r="L33" s="1096"/>
      <c r="M33" s="1096"/>
      <c r="N33" s="1096"/>
      <c r="O33" s="1096"/>
      <c r="P33" s="1096"/>
      <c r="Q33" s="1096"/>
      <c r="R33" s="1096"/>
      <c r="S33" s="1096"/>
      <c r="T33" s="1096"/>
      <c r="U33" s="1096"/>
      <c r="V33" s="1460">
        <f t="shared" si="4"/>
        <v>0.95000000000000029</v>
      </c>
      <c r="W33" s="1461">
        <f t="shared" ca="1" si="3"/>
        <v>1.1790596707496308</v>
      </c>
      <c r="X33" s="1096"/>
      <c r="Y33" s="1096"/>
      <c r="Z33" s="1096"/>
      <c r="AA33" s="1096"/>
      <c r="AB33" s="1096"/>
      <c r="AC33" s="1096"/>
      <c r="AD33" s="1096"/>
      <c r="AE33" s="1096"/>
      <c r="AF33" s="1096"/>
      <c r="AG33" s="1096"/>
      <c r="AH33" s="1096"/>
      <c r="AI33" s="1096"/>
      <c r="AJ33" s="1096"/>
      <c r="AK33" s="1096"/>
      <c r="AL33" s="1096"/>
      <c r="AM33" s="1096"/>
      <c r="AN33" s="1096"/>
      <c r="AO33" s="1096"/>
      <c r="AP33" s="1096"/>
      <c r="AQ33" s="1096"/>
      <c r="AR33" s="1096"/>
      <c r="AS33" s="1096"/>
      <c r="AT33" s="1096"/>
      <c r="AU33" s="1096"/>
      <c r="AV33" s="1096"/>
      <c r="AW33" s="1096"/>
      <c r="AX33" s="1096"/>
      <c r="AY33" s="1096"/>
      <c r="AZ33" s="1096"/>
      <c r="BA33" s="1096"/>
      <c r="BB33" s="1096"/>
      <c r="BC33" s="1096"/>
      <c r="BD33" s="1096"/>
      <c r="BE33" s="1096"/>
      <c r="BF33" s="1096"/>
      <c r="BG33" s="1096"/>
      <c r="BH33" s="1096"/>
      <c r="BI33" s="1096"/>
      <c r="BJ33" s="1096"/>
      <c r="BK33" s="1096"/>
      <c r="BL33" s="1096"/>
      <c r="BM33" s="1096"/>
      <c r="BN33" s="1096"/>
      <c r="BO33" s="1096"/>
      <c r="BP33" s="1096"/>
      <c r="BQ33" s="1096"/>
      <c r="BR33" s="1096"/>
      <c r="BS33" s="1096"/>
      <c r="BT33" s="1096"/>
      <c r="BU33" s="1096"/>
    </row>
    <row r="34" spans="1:73" x14ac:dyDescent="0.25">
      <c r="A34" s="1096"/>
      <c r="B34" s="1096"/>
      <c r="C34" s="1096"/>
      <c r="D34" s="1096"/>
      <c r="E34" s="1096"/>
      <c r="F34" s="1096"/>
      <c r="G34" s="1096"/>
      <c r="H34" s="1096"/>
      <c r="I34" s="1096"/>
      <c r="J34" s="1096"/>
      <c r="K34" s="1096"/>
      <c r="L34" s="1096"/>
      <c r="M34" s="1096"/>
      <c r="N34" s="1096"/>
      <c r="O34" s="1096"/>
      <c r="P34" s="1096"/>
      <c r="Q34" s="1096"/>
      <c r="R34" s="1096"/>
      <c r="S34" s="1096"/>
      <c r="T34" s="1096"/>
      <c r="U34" s="1096"/>
      <c r="V34" s="1459">
        <v>1</v>
      </c>
      <c r="W34" s="1110">
        <f ca="1">+MAX(OFFSET($B$251:$B$2250,0,$C$194))*$C$198</f>
        <v>1.2005921112005278</v>
      </c>
      <c r="X34" s="1096"/>
      <c r="Y34" s="1096"/>
      <c r="Z34" s="1096"/>
      <c r="AA34" s="1096"/>
      <c r="AB34" s="1096"/>
      <c r="AC34" s="1096"/>
      <c r="AD34" s="1096"/>
      <c r="AE34" s="1096"/>
      <c r="AF34" s="1096"/>
      <c r="AG34" s="1096"/>
      <c r="AH34" s="1096"/>
      <c r="AI34" s="1096"/>
      <c r="AJ34" s="1096"/>
      <c r="AK34" s="1096"/>
      <c r="AL34" s="1096"/>
      <c r="AM34" s="1096"/>
      <c r="AN34" s="1096"/>
      <c r="AO34" s="1096"/>
      <c r="AP34" s="1096"/>
      <c r="AQ34" s="1096"/>
      <c r="AR34" s="1096"/>
      <c r="AS34" s="1096"/>
      <c r="AT34" s="1096"/>
      <c r="AU34" s="1096"/>
      <c r="AV34" s="1096"/>
      <c r="AW34" s="1096"/>
      <c r="AX34" s="1096"/>
      <c r="AY34" s="1096"/>
      <c r="AZ34" s="1096"/>
      <c r="BA34" s="1096"/>
      <c r="BB34" s="1096"/>
      <c r="BC34" s="1096"/>
      <c r="BD34" s="1096"/>
      <c r="BE34" s="1096"/>
      <c r="BF34" s="1096"/>
      <c r="BG34" s="1096"/>
      <c r="BH34" s="1096"/>
      <c r="BI34" s="1096"/>
      <c r="BJ34" s="1096"/>
      <c r="BK34" s="1096"/>
      <c r="BL34" s="1096"/>
      <c r="BM34" s="1096"/>
      <c r="BN34" s="1096"/>
      <c r="BO34" s="1096"/>
      <c r="BP34" s="1096"/>
      <c r="BQ34" s="1096"/>
      <c r="BR34" s="1096"/>
      <c r="BS34" s="1096"/>
      <c r="BT34" s="1096"/>
      <c r="BU34" s="1096"/>
    </row>
    <row r="35" spans="1:73" ht="13" x14ac:dyDescent="0.3">
      <c r="A35" s="1096"/>
      <c r="B35" s="1096"/>
      <c r="C35" s="1096"/>
      <c r="D35" s="1096"/>
      <c r="E35" s="1096"/>
      <c r="F35" s="1096"/>
      <c r="G35" s="1096"/>
      <c r="H35" s="1096"/>
      <c r="I35" s="1096"/>
      <c r="J35" s="1096"/>
      <c r="K35" s="1096"/>
      <c r="L35" s="1096"/>
      <c r="M35" s="1231"/>
      <c r="N35" s="1096"/>
      <c r="O35" s="1096"/>
      <c r="P35" s="1096"/>
      <c r="Q35" s="1096"/>
      <c r="R35" s="1096"/>
      <c r="S35" s="1096"/>
      <c r="T35" s="1096"/>
      <c r="U35" s="1096"/>
      <c r="V35" s="1096"/>
      <c r="W35" s="1096"/>
      <c r="X35" s="1096"/>
      <c r="Y35" s="1096"/>
      <c r="Z35" s="1096"/>
      <c r="AA35" s="1096"/>
      <c r="AB35" s="1096"/>
      <c r="AC35" s="1096"/>
      <c r="AD35" s="1096"/>
      <c r="AE35" s="1096"/>
      <c r="AF35" s="1096"/>
      <c r="AG35" s="1096"/>
      <c r="AH35" s="1096"/>
      <c r="AI35" s="1096"/>
      <c r="AJ35" s="1096"/>
      <c r="AK35" s="1096"/>
      <c r="AL35" s="1096"/>
      <c r="AM35" s="1096"/>
      <c r="AN35" s="1096"/>
      <c r="AO35" s="1096"/>
      <c r="AP35" s="1096"/>
      <c r="AQ35" s="1096"/>
      <c r="AR35" s="1096"/>
      <c r="AS35" s="1096"/>
      <c r="AT35" s="1096"/>
      <c r="AU35" s="1096"/>
      <c r="AV35" s="1096"/>
      <c r="AW35" s="1096"/>
      <c r="AX35" s="1096"/>
      <c r="AY35" s="1096"/>
      <c r="AZ35" s="1096"/>
      <c r="BA35" s="1096"/>
      <c r="BB35" s="1096"/>
      <c r="BC35" s="1096"/>
      <c r="BD35" s="1096"/>
      <c r="BE35" s="1096"/>
      <c r="BF35" s="1096"/>
      <c r="BG35" s="1096"/>
      <c r="BH35" s="1096"/>
      <c r="BI35" s="1096"/>
      <c r="BJ35" s="1096"/>
      <c r="BK35" s="1096"/>
      <c r="BL35" s="1096"/>
      <c r="BM35" s="1096"/>
      <c r="BN35" s="1096"/>
      <c r="BO35" s="1096"/>
      <c r="BP35" s="1096"/>
      <c r="BQ35" s="1096"/>
      <c r="BR35" s="1096"/>
      <c r="BS35" s="1096"/>
      <c r="BT35" s="1096"/>
      <c r="BU35" s="1096"/>
    </row>
    <row r="36" spans="1:73" x14ac:dyDescent="0.25">
      <c r="A36" s="1096"/>
      <c r="B36" s="1096"/>
      <c r="C36" s="1096"/>
      <c r="D36" s="1096"/>
      <c r="E36" s="1096"/>
      <c r="F36" s="1096"/>
      <c r="G36" s="1096"/>
      <c r="H36" s="1096"/>
      <c r="I36" s="1096"/>
      <c r="J36" s="1096"/>
      <c r="K36" s="1096"/>
      <c r="L36" s="1096"/>
      <c r="M36" s="1096"/>
      <c r="N36" s="1096"/>
      <c r="O36" s="1096"/>
      <c r="P36" s="1096"/>
      <c r="Q36" s="1096"/>
      <c r="R36" s="1096"/>
      <c r="S36" s="1096"/>
      <c r="T36" s="1096"/>
      <c r="U36" s="1096"/>
      <c r="V36" s="1096"/>
      <c r="W36" s="1096"/>
      <c r="X36" s="1096"/>
      <c r="Y36" s="1096"/>
      <c r="Z36" s="1096"/>
      <c r="AA36" s="1096"/>
      <c r="AB36" s="1096"/>
      <c r="AC36" s="1096"/>
      <c r="AD36" s="1096"/>
      <c r="AE36" s="1096"/>
      <c r="AF36" s="1096"/>
      <c r="AG36" s="1096"/>
      <c r="AH36" s="1096"/>
      <c r="AI36" s="1096"/>
      <c r="AJ36" s="1096"/>
      <c r="AK36" s="1096"/>
      <c r="AL36" s="1096"/>
      <c r="AM36" s="1096"/>
      <c r="AN36" s="1096"/>
      <c r="AO36" s="1096"/>
      <c r="AP36" s="1096"/>
      <c r="AQ36" s="1096"/>
      <c r="AR36" s="1096"/>
      <c r="AS36" s="1096"/>
      <c r="AT36" s="1096"/>
      <c r="AU36" s="1096"/>
      <c r="AV36" s="1096"/>
      <c r="AW36" s="1096"/>
      <c r="AX36" s="1096"/>
      <c r="AY36" s="1096"/>
      <c r="AZ36" s="1096"/>
      <c r="BA36" s="1096"/>
      <c r="BB36" s="1096"/>
      <c r="BC36" s="1096"/>
      <c r="BD36" s="1096"/>
      <c r="BE36" s="1096"/>
      <c r="BF36" s="1096"/>
      <c r="BG36" s="1096"/>
      <c r="BH36" s="1096"/>
      <c r="BI36" s="1096"/>
      <c r="BJ36" s="1096"/>
      <c r="BK36" s="1096"/>
      <c r="BL36" s="1096"/>
      <c r="BM36" s="1096"/>
      <c r="BN36" s="1096"/>
      <c r="BO36" s="1096"/>
      <c r="BP36" s="1096"/>
      <c r="BQ36" s="1096"/>
      <c r="BR36" s="1096"/>
      <c r="BS36" s="1096"/>
      <c r="BT36" s="1096"/>
      <c r="BU36" s="1096"/>
    </row>
    <row r="37" spans="1:73" x14ac:dyDescent="0.25">
      <c r="A37" s="1096"/>
      <c r="B37" s="1096"/>
      <c r="C37" s="1096"/>
      <c r="D37" s="1096"/>
      <c r="E37" s="1096"/>
      <c r="F37" s="1096"/>
      <c r="G37" s="1096"/>
      <c r="H37" s="1096"/>
      <c r="I37" s="1096"/>
      <c r="J37" s="1096"/>
      <c r="K37" s="1096"/>
      <c r="L37" s="1096"/>
      <c r="M37" s="1096"/>
      <c r="N37" s="1096"/>
      <c r="O37" s="1096"/>
      <c r="P37" s="1096"/>
      <c r="Q37" s="1096"/>
      <c r="R37" s="1096"/>
      <c r="S37" s="1096"/>
      <c r="T37" s="1096"/>
      <c r="U37" s="1096"/>
      <c r="V37" s="1096"/>
      <c r="W37" s="1096"/>
      <c r="X37" s="1096"/>
      <c r="Y37" s="1096"/>
      <c r="Z37" s="1096"/>
      <c r="AA37" s="1096"/>
      <c r="AB37" s="1096"/>
      <c r="AC37" s="1096"/>
      <c r="AD37" s="1096"/>
      <c r="AE37" s="1096"/>
      <c r="AF37" s="1096"/>
      <c r="AG37" s="1096"/>
      <c r="AH37" s="1096"/>
      <c r="AI37" s="1096"/>
      <c r="AJ37" s="1096"/>
      <c r="AK37" s="1096"/>
      <c r="AL37" s="1096"/>
      <c r="AM37" s="1096"/>
      <c r="AN37" s="1096"/>
      <c r="AO37" s="1096"/>
      <c r="AP37" s="1096"/>
      <c r="AQ37" s="1096"/>
      <c r="AR37" s="1096"/>
      <c r="AS37" s="1096"/>
      <c r="AT37" s="1096"/>
      <c r="AU37" s="1096"/>
      <c r="AV37" s="1096"/>
      <c r="AW37" s="1096"/>
      <c r="AX37" s="1096"/>
      <c r="AY37" s="1096"/>
      <c r="AZ37" s="1096"/>
      <c r="BA37" s="1096"/>
      <c r="BB37" s="1096"/>
      <c r="BC37" s="1096"/>
      <c r="BD37" s="1096"/>
      <c r="BE37" s="1096"/>
      <c r="BF37" s="1096"/>
      <c r="BG37" s="1096"/>
      <c r="BH37" s="1096"/>
      <c r="BI37" s="1096"/>
      <c r="BJ37" s="1096"/>
      <c r="BK37" s="1096"/>
      <c r="BL37" s="1096"/>
      <c r="BM37" s="1096"/>
      <c r="BN37" s="1096"/>
      <c r="BO37" s="1096"/>
      <c r="BP37" s="1096"/>
      <c r="BQ37" s="1096"/>
      <c r="BR37" s="1096"/>
      <c r="BS37" s="1096"/>
      <c r="BT37" s="1096"/>
      <c r="BU37" s="1096"/>
    </row>
    <row r="38" spans="1:73" x14ac:dyDescent="0.25">
      <c r="A38" s="1096"/>
      <c r="B38" s="1096"/>
      <c r="C38" s="1096"/>
      <c r="D38" s="1096"/>
      <c r="E38" s="1096"/>
      <c r="F38" s="1096"/>
      <c r="G38" s="1096"/>
      <c r="H38" s="1096"/>
      <c r="I38" s="1096"/>
      <c r="J38" s="1096"/>
      <c r="K38" s="1096"/>
      <c r="L38" s="1096"/>
      <c r="M38" s="1096"/>
      <c r="N38" s="1096"/>
      <c r="O38" s="1096"/>
      <c r="P38" s="1096"/>
      <c r="Q38" s="1096"/>
      <c r="R38" s="1096"/>
      <c r="S38" s="1096"/>
      <c r="T38" s="1096"/>
      <c r="U38" s="1096"/>
      <c r="V38" s="1096"/>
      <c r="W38" s="1096"/>
      <c r="X38" s="1096"/>
      <c r="Y38" s="1096"/>
      <c r="Z38" s="1096"/>
      <c r="AA38" s="1096"/>
      <c r="AB38" s="1096"/>
      <c r="AC38" s="1096"/>
      <c r="AD38" s="1096"/>
      <c r="AE38" s="1096"/>
      <c r="AF38" s="1096"/>
      <c r="AG38" s="1096"/>
      <c r="AH38" s="1096"/>
      <c r="AI38" s="1096"/>
      <c r="AJ38" s="1096"/>
      <c r="AK38" s="1096"/>
      <c r="AL38" s="1096"/>
      <c r="AM38" s="1096"/>
      <c r="AN38" s="1096"/>
      <c r="AO38" s="1096"/>
      <c r="AP38" s="1096"/>
      <c r="AQ38" s="1096"/>
      <c r="AR38" s="1096"/>
      <c r="AS38" s="1096"/>
      <c r="AT38" s="1096"/>
      <c r="AU38" s="1096"/>
      <c r="AV38" s="1096"/>
      <c r="AW38" s="1096"/>
      <c r="AX38" s="1096"/>
      <c r="AY38" s="1096"/>
      <c r="AZ38" s="1096"/>
      <c r="BA38" s="1096"/>
      <c r="BB38" s="1096"/>
      <c r="BC38" s="1096"/>
      <c r="BD38" s="1096"/>
      <c r="BE38" s="1096"/>
      <c r="BF38" s="1096"/>
      <c r="BG38" s="1096"/>
      <c r="BH38" s="1096"/>
      <c r="BI38" s="1096"/>
      <c r="BJ38" s="1096"/>
      <c r="BK38" s="1096"/>
      <c r="BL38" s="1096"/>
      <c r="BM38" s="1096"/>
      <c r="BN38" s="1096"/>
      <c r="BO38" s="1096"/>
      <c r="BP38" s="1096"/>
      <c r="BQ38" s="1096"/>
      <c r="BR38" s="1096"/>
      <c r="BS38" s="1096"/>
      <c r="BT38" s="1096"/>
      <c r="BU38" s="1096"/>
    </row>
    <row r="39" spans="1:73" x14ac:dyDescent="0.25">
      <c r="A39" s="1096"/>
      <c r="B39" s="1096"/>
      <c r="C39" s="1096"/>
      <c r="D39" s="1096"/>
      <c r="E39" s="1096"/>
      <c r="F39" s="1096"/>
      <c r="G39" s="1096"/>
      <c r="H39" s="1096"/>
      <c r="I39" s="1096"/>
      <c r="J39" s="1096"/>
      <c r="K39" s="1096"/>
      <c r="L39" s="1096"/>
      <c r="M39" s="1096"/>
      <c r="N39" s="1096"/>
      <c r="O39" s="1096"/>
      <c r="P39" s="1096"/>
      <c r="Q39" s="1096"/>
      <c r="R39" s="1096"/>
      <c r="S39" s="1096"/>
      <c r="T39" s="1096"/>
      <c r="U39" s="1096"/>
      <c r="V39" s="1096"/>
      <c r="W39" s="1096"/>
      <c r="X39" s="1096"/>
      <c r="Y39" s="1096"/>
      <c r="Z39" s="1096"/>
      <c r="AA39" s="1096"/>
      <c r="AB39" s="1096"/>
      <c r="AC39" s="1096"/>
      <c r="AD39" s="1096"/>
      <c r="AE39" s="1096"/>
      <c r="AF39" s="1096"/>
      <c r="AG39" s="1096"/>
      <c r="AH39" s="1096"/>
      <c r="AI39" s="1096"/>
      <c r="AJ39" s="1096"/>
      <c r="AK39" s="1096"/>
      <c r="AL39" s="1096"/>
      <c r="AM39" s="1096"/>
      <c r="AN39" s="1096"/>
      <c r="AO39" s="1096"/>
      <c r="AP39" s="1096"/>
      <c r="AQ39" s="1096"/>
      <c r="AR39" s="1096"/>
      <c r="AS39" s="1096"/>
      <c r="AT39" s="1096"/>
      <c r="AU39" s="1096"/>
      <c r="AV39" s="1096"/>
      <c r="AW39" s="1096"/>
      <c r="AX39" s="1096"/>
      <c r="AY39" s="1096"/>
      <c r="AZ39" s="1096"/>
      <c r="BA39" s="1096"/>
      <c r="BB39" s="1096"/>
      <c r="BC39" s="1096"/>
      <c r="BD39" s="1096"/>
      <c r="BE39" s="1096"/>
      <c r="BF39" s="1096"/>
      <c r="BG39" s="1096"/>
      <c r="BH39" s="1096"/>
      <c r="BI39" s="1096"/>
      <c r="BJ39" s="1096"/>
      <c r="BK39" s="1096"/>
      <c r="BL39" s="1096"/>
      <c r="BM39" s="1096"/>
      <c r="BN39" s="1096"/>
      <c r="BO39" s="1096"/>
      <c r="BP39" s="1096"/>
      <c r="BQ39" s="1096"/>
      <c r="BR39" s="1096"/>
      <c r="BS39" s="1096"/>
      <c r="BT39" s="1096"/>
      <c r="BU39" s="1096"/>
    </row>
    <row r="40" spans="1:73" x14ac:dyDescent="0.25">
      <c r="A40" s="1096"/>
      <c r="B40" s="1096"/>
      <c r="C40" s="1096"/>
      <c r="D40" s="1096"/>
      <c r="E40" s="1096"/>
      <c r="F40" s="1096"/>
      <c r="G40" s="1096"/>
      <c r="H40" s="1096"/>
      <c r="I40" s="1096"/>
      <c r="J40" s="1096"/>
      <c r="K40" s="1096"/>
      <c r="L40" s="1096"/>
      <c r="M40" s="1096"/>
      <c r="N40" s="1096"/>
      <c r="O40" s="1096"/>
      <c r="P40" s="1096"/>
      <c r="Q40" s="1096"/>
      <c r="R40" s="1096"/>
      <c r="S40" s="1096"/>
      <c r="T40" s="1096"/>
      <c r="U40" s="1096"/>
      <c r="V40" s="1096"/>
      <c r="W40" s="1096"/>
      <c r="X40" s="1096"/>
      <c r="Y40" s="1096"/>
      <c r="Z40" s="1096"/>
      <c r="AA40" s="1096"/>
      <c r="AB40" s="1096"/>
      <c r="AC40" s="1096"/>
      <c r="AD40" s="1096"/>
      <c r="AE40" s="1096"/>
      <c r="AF40" s="1096"/>
      <c r="AG40" s="1096"/>
      <c r="AH40" s="1096"/>
      <c r="AI40" s="1096"/>
      <c r="AJ40" s="1096"/>
      <c r="AK40" s="1096"/>
      <c r="AL40" s="1096"/>
      <c r="AM40" s="1096"/>
      <c r="AN40" s="1096"/>
      <c r="AO40" s="1096"/>
      <c r="AP40" s="1096"/>
      <c r="AQ40" s="1096"/>
      <c r="AR40" s="1096"/>
      <c r="AS40" s="1096"/>
      <c r="AT40" s="1096"/>
      <c r="AU40" s="1096"/>
      <c r="AV40" s="1096"/>
      <c r="AW40" s="1096"/>
      <c r="AX40" s="1096"/>
      <c r="AY40" s="1096"/>
      <c r="AZ40" s="1096"/>
      <c r="BA40" s="1096"/>
      <c r="BB40" s="1096"/>
      <c r="BC40" s="1096"/>
      <c r="BD40" s="1096"/>
      <c r="BE40" s="1096"/>
      <c r="BF40" s="1096"/>
      <c r="BG40" s="1096"/>
      <c r="BH40" s="1096"/>
      <c r="BI40" s="1096"/>
      <c r="BJ40" s="1096"/>
      <c r="BK40" s="1096"/>
      <c r="BL40" s="1096"/>
      <c r="BM40" s="1096"/>
      <c r="BN40" s="1096"/>
      <c r="BO40" s="1096"/>
      <c r="BP40" s="1096"/>
      <c r="BQ40" s="1096"/>
      <c r="BR40" s="1096"/>
      <c r="BS40" s="1096"/>
      <c r="BT40" s="1096"/>
      <c r="BU40" s="1096"/>
    </row>
    <row r="41" spans="1:73" x14ac:dyDescent="0.25">
      <c r="A41" s="1096"/>
      <c r="B41" s="1096"/>
      <c r="C41" s="1096"/>
      <c r="D41" s="1096"/>
      <c r="E41" s="1096"/>
      <c r="F41" s="1096"/>
      <c r="G41" s="1096"/>
      <c r="H41" s="1096"/>
      <c r="I41" s="1096"/>
      <c r="J41" s="1096"/>
      <c r="K41" s="1096"/>
      <c r="L41" s="1096"/>
      <c r="M41" s="1096"/>
      <c r="N41" s="1096"/>
      <c r="O41" s="1096"/>
      <c r="P41" s="1096"/>
      <c r="Q41" s="1096"/>
      <c r="R41" s="1096"/>
      <c r="S41" s="1096"/>
      <c r="T41" s="1096"/>
      <c r="U41" s="1096"/>
      <c r="V41" s="1096"/>
      <c r="W41" s="1096"/>
      <c r="X41" s="1096"/>
      <c r="Y41" s="1096"/>
      <c r="Z41" s="1096"/>
      <c r="AA41" s="1096"/>
      <c r="AB41" s="1096"/>
      <c r="AC41" s="1096"/>
      <c r="AD41" s="1096"/>
      <c r="AE41" s="1096"/>
      <c r="AF41" s="1096"/>
      <c r="AG41" s="1096"/>
      <c r="AH41" s="1096"/>
      <c r="AI41" s="1096"/>
      <c r="AJ41" s="1096"/>
      <c r="AK41" s="1096"/>
      <c r="AL41" s="1096"/>
      <c r="AM41" s="1096"/>
      <c r="AN41" s="1096"/>
      <c r="AO41" s="1096"/>
      <c r="AP41" s="1096"/>
      <c r="AQ41" s="1096"/>
      <c r="AR41" s="1096"/>
      <c r="AS41" s="1096"/>
      <c r="AT41" s="1096"/>
      <c r="AU41" s="1096"/>
      <c r="AV41" s="1096"/>
      <c r="AW41" s="1096"/>
      <c r="AX41" s="1096"/>
      <c r="AY41" s="1096"/>
      <c r="AZ41" s="1096"/>
      <c r="BA41" s="1096"/>
      <c r="BB41" s="1096"/>
      <c r="BC41" s="1096"/>
      <c r="BD41" s="1096"/>
      <c r="BE41" s="1096"/>
      <c r="BF41" s="1096"/>
      <c r="BG41" s="1096"/>
      <c r="BH41" s="1096"/>
      <c r="BI41" s="1096"/>
      <c r="BJ41" s="1096"/>
      <c r="BK41" s="1096"/>
      <c r="BL41" s="1096"/>
      <c r="BM41" s="1096"/>
      <c r="BN41" s="1096"/>
      <c r="BO41" s="1096"/>
      <c r="BP41" s="1096"/>
      <c r="BQ41" s="1096"/>
      <c r="BR41" s="1096"/>
      <c r="BS41" s="1096"/>
      <c r="BT41" s="1096"/>
      <c r="BU41" s="1096"/>
    </row>
    <row r="42" spans="1:73" x14ac:dyDescent="0.25">
      <c r="A42" s="1096"/>
      <c r="B42" s="1096"/>
      <c r="C42" s="1096"/>
      <c r="D42" s="1096"/>
      <c r="E42" s="1096"/>
      <c r="F42" s="1096"/>
      <c r="G42" s="1096"/>
      <c r="H42" s="1096"/>
      <c r="I42" s="1096"/>
      <c r="J42" s="1096"/>
      <c r="K42" s="1096"/>
      <c r="L42" s="1096"/>
      <c r="M42" s="1096"/>
      <c r="N42" s="1096"/>
      <c r="O42" s="1096"/>
      <c r="P42" s="1096"/>
      <c r="Q42" s="1096"/>
      <c r="R42" s="1096"/>
      <c r="S42" s="1096"/>
      <c r="T42" s="1096"/>
      <c r="U42" s="1096"/>
      <c r="V42" s="1096"/>
      <c r="W42" s="1096"/>
      <c r="X42" s="1096"/>
      <c r="Y42" s="1096"/>
      <c r="Z42" s="1096"/>
      <c r="AA42" s="1096"/>
      <c r="AB42" s="1096"/>
      <c r="AC42" s="1096"/>
      <c r="AD42" s="1096"/>
      <c r="AE42" s="1096"/>
      <c r="AF42" s="1096"/>
      <c r="AG42" s="1096"/>
      <c r="AH42" s="1096"/>
      <c r="AI42" s="1096"/>
      <c r="AJ42" s="1096"/>
      <c r="AK42" s="1096"/>
      <c r="AL42" s="1096"/>
      <c r="AM42" s="1096"/>
      <c r="AN42" s="1096"/>
      <c r="AO42" s="1096"/>
      <c r="AP42" s="1096"/>
      <c r="AQ42" s="1096"/>
      <c r="AR42" s="1096"/>
      <c r="AS42" s="1096"/>
      <c r="AT42" s="1096"/>
      <c r="AU42" s="1096"/>
      <c r="AV42" s="1096"/>
      <c r="AW42" s="1096"/>
      <c r="AX42" s="1096"/>
      <c r="AY42" s="1096"/>
      <c r="AZ42" s="1096"/>
      <c r="BA42" s="1096"/>
      <c r="BB42" s="1096"/>
      <c r="BC42" s="1096"/>
      <c r="BD42" s="1096"/>
      <c r="BE42" s="1096"/>
      <c r="BF42" s="1096"/>
      <c r="BG42" s="1096"/>
      <c r="BH42" s="1096"/>
      <c r="BI42" s="1096"/>
      <c r="BJ42" s="1096"/>
      <c r="BK42" s="1096"/>
      <c r="BL42" s="1096"/>
      <c r="BM42" s="1096"/>
      <c r="BN42" s="1096"/>
      <c r="BO42" s="1096"/>
      <c r="BP42" s="1096"/>
      <c r="BQ42" s="1096"/>
      <c r="BR42" s="1096"/>
      <c r="BS42" s="1096"/>
      <c r="BT42" s="1096"/>
      <c r="BU42" s="1096"/>
    </row>
    <row r="43" spans="1:73" x14ac:dyDescent="0.25">
      <c r="A43" s="1096"/>
      <c r="B43" s="1096"/>
      <c r="C43" s="1096"/>
      <c r="D43" s="1096"/>
      <c r="E43" s="1096"/>
      <c r="F43" s="1096"/>
      <c r="G43" s="1096"/>
      <c r="H43" s="1096"/>
      <c r="I43" s="1096"/>
      <c r="J43" s="1096"/>
      <c r="K43" s="1096"/>
      <c r="L43" s="1096"/>
      <c r="M43" s="1096"/>
      <c r="N43" s="1096"/>
      <c r="O43" s="1096"/>
      <c r="P43" s="1096"/>
      <c r="Q43" s="1096"/>
      <c r="R43" s="1096"/>
      <c r="S43" s="1096"/>
      <c r="T43" s="1096"/>
      <c r="U43" s="1096"/>
      <c r="V43" s="1096"/>
      <c r="W43" s="1096"/>
      <c r="X43" s="1096"/>
      <c r="Y43" s="1096"/>
      <c r="Z43" s="1096"/>
      <c r="AA43" s="1096"/>
      <c r="AB43" s="1096"/>
      <c r="AC43" s="1096"/>
      <c r="AD43" s="1096"/>
      <c r="AE43" s="1096"/>
      <c r="AF43" s="1096"/>
      <c r="AG43" s="1096"/>
      <c r="AH43" s="1096"/>
      <c r="AI43" s="1096"/>
      <c r="AJ43" s="1096"/>
      <c r="AK43" s="1096"/>
      <c r="AL43" s="1096"/>
      <c r="AM43" s="1096"/>
      <c r="AN43" s="1096"/>
      <c r="AO43" s="1096"/>
      <c r="AP43" s="1096"/>
      <c r="AQ43" s="1096"/>
      <c r="AR43" s="1096"/>
      <c r="AS43" s="1096"/>
      <c r="AT43" s="1096"/>
      <c r="AU43" s="1096"/>
      <c r="AV43" s="1096"/>
      <c r="AW43" s="1096"/>
      <c r="AX43" s="1096"/>
      <c r="AY43" s="1096"/>
      <c r="AZ43" s="1096"/>
      <c r="BA43" s="1096"/>
      <c r="BB43" s="1096"/>
      <c r="BC43" s="1096"/>
      <c r="BD43" s="1096"/>
      <c r="BE43" s="1096"/>
      <c r="BF43" s="1096"/>
      <c r="BG43" s="1096"/>
      <c r="BH43" s="1096"/>
      <c r="BI43" s="1096"/>
      <c r="BJ43" s="1096"/>
      <c r="BK43" s="1096"/>
      <c r="BL43" s="1096"/>
      <c r="BM43" s="1096"/>
      <c r="BN43" s="1096"/>
      <c r="BO43" s="1096"/>
      <c r="BP43" s="1096"/>
      <c r="BQ43" s="1096"/>
      <c r="BR43" s="1096"/>
      <c r="BS43" s="1096"/>
      <c r="BT43" s="1096"/>
      <c r="BU43" s="1096"/>
    </row>
    <row r="44" spans="1:73" x14ac:dyDescent="0.25">
      <c r="A44" s="1096"/>
      <c r="B44" s="1096"/>
      <c r="C44" s="1096"/>
      <c r="D44" s="1096"/>
      <c r="E44" s="1096"/>
      <c r="F44" s="1096"/>
      <c r="G44" s="1096"/>
      <c r="H44" s="1096"/>
      <c r="I44" s="1096"/>
      <c r="J44" s="1096"/>
      <c r="K44" s="1096"/>
      <c r="L44" s="1096"/>
      <c r="M44" s="1096"/>
      <c r="N44" s="1096"/>
      <c r="O44" s="1096"/>
      <c r="P44" s="1096"/>
      <c r="Q44" s="1096"/>
      <c r="R44" s="1096"/>
      <c r="S44" s="1096"/>
      <c r="T44" s="1096"/>
      <c r="U44" s="1096"/>
      <c r="V44" s="1096"/>
      <c r="W44" s="1096"/>
      <c r="X44" s="1096"/>
      <c r="Y44" s="1096"/>
      <c r="Z44" s="1096"/>
      <c r="AA44" s="1096"/>
      <c r="AB44" s="1096"/>
      <c r="AC44" s="1096"/>
      <c r="AD44" s="1096"/>
      <c r="AE44" s="1096"/>
      <c r="AF44" s="1096"/>
      <c r="AG44" s="1096"/>
      <c r="AH44" s="1096"/>
      <c r="AI44" s="1096"/>
      <c r="AJ44" s="1096"/>
      <c r="AK44" s="1096"/>
      <c r="AL44" s="1096"/>
      <c r="AM44" s="1096"/>
      <c r="AN44" s="1096"/>
      <c r="AO44" s="1096"/>
      <c r="AP44" s="1096"/>
      <c r="AQ44" s="1096"/>
      <c r="AR44" s="1096"/>
      <c r="AS44" s="1096"/>
      <c r="AT44" s="1096"/>
      <c r="AU44" s="1096"/>
      <c r="AV44" s="1096"/>
      <c r="AW44" s="1096"/>
      <c r="AX44" s="1096"/>
      <c r="AY44" s="1096"/>
      <c r="AZ44" s="1096"/>
      <c r="BA44" s="1096"/>
      <c r="BB44" s="1096"/>
      <c r="BC44" s="1096"/>
      <c r="BD44" s="1096"/>
      <c r="BE44" s="1096"/>
      <c r="BF44" s="1096"/>
      <c r="BG44" s="1096"/>
      <c r="BH44" s="1096"/>
      <c r="BI44" s="1096"/>
      <c r="BJ44" s="1096"/>
      <c r="BK44" s="1096"/>
      <c r="BL44" s="1096"/>
      <c r="BM44" s="1096"/>
      <c r="BN44" s="1096"/>
      <c r="BO44" s="1096"/>
      <c r="BP44" s="1096"/>
      <c r="BQ44" s="1096"/>
      <c r="BR44" s="1096"/>
      <c r="BS44" s="1096"/>
      <c r="BT44" s="1096"/>
      <c r="BU44" s="1096"/>
    </row>
    <row r="45" spans="1:73" ht="13.5" thickBot="1" x14ac:dyDescent="0.35">
      <c r="A45" s="1096"/>
      <c r="B45" s="1194" t="s">
        <v>1322</v>
      </c>
      <c r="C45" s="1194"/>
      <c r="D45" s="1194"/>
      <c r="E45" s="1194"/>
      <c r="F45" s="1194"/>
      <c r="G45" s="1194"/>
      <c r="H45" s="1194"/>
      <c r="I45" s="1194"/>
      <c r="J45" s="1194"/>
      <c r="K45" s="1194"/>
      <c r="L45" s="1194"/>
      <c r="M45" s="1194"/>
      <c r="N45" s="1194"/>
      <c r="O45" s="1194"/>
      <c r="P45" s="1194"/>
      <c r="Q45" s="1194"/>
      <c r="R45" s="1194"/>
      <c r="S45" s="1194"/>
      <c r="T45" s="1194"/>
      <c r="U45" s="1194"/>
      <c r="V45" s="1194"/>
      <c r="W45" s="1194"/>
      <c r="X45" s="1194"/>
      <c r="Y45" s="1096"/>
      <c r="Z45" s="1096"/>
      <c r="AA45" s="1096"/>
      <c r="AB45" s="1096"/>
      <c r="AC45" s="1096"/>
      <c r="AD45" s="1096"/>
      <c r="AE45" s="1096"/>
      <c r="AF45" s="1096"/>
      <c r="AG45" s="1096"/>
      <c r="AH45" s="1096"/>
      <c r="AI45" s="1096"/>
      <c r="AJ45" s="1096"/>
      <c r="AK45" s="1096"/>
      <c r="AL45" s="1096"/>
      <c r="AM45" s="1096"/>
      <c r="AN45" s="1096"/>
      <c r="AO45" s="1096"/>
      <c r="AP45" s="1096"/>
      <c r="AQ45" s="1096"/>
      <c r="AR45" s="1096"/>
      <c r="AS45" s="1096"/>
      <c r="AT45" s="1096"/>
      <c r="AU45" s="1096"/>
      <c r="AV45" s="1096"/>
      <c r="AW45" s="1096"/>
      <c r="AX45" s="1096"/>
      <c r="AY45" s="1096"/>
      <c r="AZ45" s="1096"/>
      <c r="BA45" s="1096"/>
      <c r="BB45" s="1096"/>
      <c r="BC45" s="1096"/>
      <c r="BD45" s="1096"/>
      <c r="BE45" s="1096"/>
      <c r="BF45" s="1096"/>
      <c r="BG45" s="1096"/>
      <c r="BH45" s="1096"/>
      <c r="BI45" s="1096"/>
      <c r="BJ45" s="1096"/>
      <c r="BK45" s="1096"/>
      <c r="BL45" s="1096"/>
      <c r="BM45" s="1096"/>
      <c r="BN45" s="1096"/>
      <c r="BO45" s="1096"/>
      <c r="BP45" s="1096"/>
      <c r="BQ45" s="1096"/>
      <c r="BR45" s="1096"/>
      <c r="BS45" s="1096"/>
      <c r="BT45" s="1096"/>
      <c r="BU45" s="1096"/>
    </row>
    <row r="46" spans="1:73" ht="13" thickTop="1" x14ac:dyDescent="0.25">
      <c r="A46" s="1096"/>
      <c r="B46" s="1096"/>
      <c r="C46" s="1096"/>
      <c r="D46" s="1096"/>
      <c r="E46" s="1096"/>
      <c r="F46" s="1096"/>
      <c r="G46" s="1096"/>
      <c r="H46" s="1096"/>
      <c r="I46" s="1096"/>
      <c r="J46" s="1096"/>
      <c r="K46" s="1096"/>
      <c r="L46" s="1096"/>
      <c r="M46" s="1096"/>
      <c r="N46" s="1096"/>
      <c r="O46" s="1096"/>
      <c r="P46" s="1096"/>
      <c r="Q46" s="1096"/>
      <c r="R46" s="1096"/>
      <c r="S46" s="1096"/>
      <c r="T46" s="1096"/>
      <c r="U46" s="1096"/>
      <c r="V46" s="1096"/>
      <c r="W46" s="1096"/>
      <c r="X46" s="1096"/>
      <c r="Y46" s="1096"/>
      <c r="Z46" s="1096"/>
      <c r="AA46" s="1096"/>
      <c r="AB46" s="1096"/>
      <c r="AC46" s="1096"/>
      <c r="AD46" s="1096"/>
      <c r="AE46" s="1096"/>
      <c r="AF46" s="1096"/>
      <c r="AG46" s="1096"/>
      <c r="AH46" s="1096"/>
      <c r="AI46" s="1096"/>
      <c r="AJ46" s="1096"/>
      <c r="AK46" s="1096"/>
      <c r="AL46" s="1096"/>
      <c r="AM46" s="1096"/>
      <c r="AN46" s="1096"/>
      <c r="AO46" s="1096"/>
      <c r="AP46" s="1096"/>
      <c r="AQ46" s="1096"/>
      <c r="AR46" s="1096"/>
      <c r="AS46" s="1096"/>
      <c r="AT46" s="1096"/>
      <c r="AU46" s="1096"/>
      <c r="AV46" s="1096"/>
      <c r="AW46" s="1096"/>
      <c r="AX46" s="1096"/>
      <c r="AY46" s="1096"/>
      <c r="AZ46" s="1096"/>
      <c r="BA46" s="1096"/>
      <c r="BB46" s="1096"/>
      <c r="BC46" s="1096"/>
      <c r="BD46" s="1096"/>
      <c r="BE46" s="1096"/>
      <c r="BF46" s="1096"/>
      <c r="BG46" s="1096"/>
      <c r="BH46" s="1096"/>
      <c r="BI46" s="1096"/>
      <c r="BJ46" s="1096"/>
      <c r="BK46" s="1096"/>
      <c r="BL46" s="1096"/>
      <c r="BM46" s="1096"/>
      <c r="BN46" s="1096"/>
      <c r="BO46" s="1096"/>
      <c r="BP46" s="1096"/>
      <c r="BQ46" s="1096"/>
      <c r="BR46" s="1096"/>
      <c r="BS46" s="1096"/>
      <c r="BT46" s="1096"/>
      <c r="BU46" s="1096"/>
    </row>
    <row r="47" spans="1:73" x14ac:dyDescent="0.25">
      <c r="A47" s="1096"/>
      <c r="B47" s="1111" t="s">
        <v>1153</v>
      </c>
      <c r="C47" s="1096"/>
      <c r="D47" s="1096"/>
      <c r="E47" s="1096"/>
      <c r="F47" s="1096"/>
      <c r="G47" s="1096"/>
      <c r="H47" s="1096"/>
      <c r="I47" s="1096"/>
      <c r="J47" s="1096"/>
      <c r="K47" s="1096"/>
      <c r="L47" s="1096"/>
      <c r="M47" s="1096"/>
      <c r="N47" s="1096"/>
      <c r="O47" s="1096"/>
      <c r="P47" s="1096"/>
      <c r="Q47" s="1096"/>
      <c r="R47" s="1096"/>
      <c r="S47" s="1096"/>
      <c r="T47" s="1096"/>
      <c r="U47" s="1096"/>
      <c r="V47" s="1096"/>
      <c r="W47" s="1096"/>
      <c r="X47" s="1096"/>
      <c r="Y47" s="1096"/>
      <c r="Z47" s="1096"/>
      <c r="AA47" s="1096"/>
      <c r="AB47" s="1096"/>
      <c r="AC47" s="1096"/>
      <c r="AD47" s="1096"/>
      <c r="AE47" s="1096"/>
      <c r="AF47" s="1096"/>
      <c r="AG47" s="1096"/>
      <c r="AH47" s="1096"/>
      <c r="AI47" s="1096"/>
      <c r="AJ47" s="1096"/>
      <c r="AK47" s="1096"/>
      <c r="AL47" s="1096"/>
      <c r="AM47" s="1096"/>
      <c r="AN47" s="1096"/>
      <c r="AO47" s="1096"/>
      <c r="AP47" s="1096"/>
      <c r="AQ47" s="1096"/>
      <c r="AR47" s="1096"/>
      <c r="AS47" s="1096"/>
      <c r="AT47" s="1096"/>
      <c r="AU47" s="1096"/>
      <c r="AV47" s="1096"/>
      <c r="AW47" s="1096"/>
      <c r="AX47" s="1096"/>
      <c r="AY47" s="1096"/>
      <c r="AZ47" s="1096"/>
      <c r="BA47" s="1096"/>
      <c r="BB47" s="1096"/>
      <c r="BC47" s="1096"/>
      <c r="BD47" s="1096"/>
      <c r="BE47" s="1096"/>
      <c r="BF47" s="1096"/>
      <c r="BG47" s="1096"/>
      <c r="BH47" s="1096"/>
      <c r="BI47" s="1096"/>
      <c r="BJ47" s="1096"/>
      <c r="BK47" s="1096"/>
      <c r="BL47" s="1096"/>
      <c r="BM47" s="1096"/>
      <c r="BN47" s="1096"/>
      <c r="BO47" s="1096"/>
      <c r="BP47" s="1096"/>
      <c r="BQ47" s="1096"/>
      <c r="BR47" s="1096"/>
      <c r="BS47" s="1096"/>
      <c r="BT47" s="1096"/>
      <c r="BU47" s="1096"/>
    </row>
    <row r="48" spans="1:73" x14ac:dyDescent="0.25">
      <c r="A48" s="1096"/>
      <c r="B48" s="1099">
        <v>1</v>
      </c>
      <c r="C48" s="1101">
        <f t="shared" ref="C48:E48" ca="1" si="5">+OFFSET(C50,$B$48,0)</f>
        <v>1</v>
      </c>
      <c r="D48" s="1101">
        <f t="shared" ca="1" si="5"/>
        <v>1</v>
      </c>
      <c r="E48" s="1101">
        <f t="shared" ca="1" si="5"/>
        <v>1</v>
      </c>
      <c r="F48" s="1101">
        <f ca="1">+OFFSET(F50,$B$48,0)</f>
        <v>1</v>
      </c>
      <c r="G48" s="1101">
        <f ca="1">+OFFSET(G50,$B$48,0)</f>
        <v>1</v>
      </c>
      <c r="H48" s="1101">
        <f ca="1">+OFFSET(H50,$B$48,0)</f>
        <v>1</v>
      </c>
      <c r="I48" s="1101">
        <f ca="1">+OFFSET(I50,$B$48,0)</f>
        <v>1</v>
      </c>
      <c r="J48" s="1096"/>
      <c r="K48" s="1113">
        <f ca="1">+'Cash Flow Analysis'!F118</f>
        <v>1.1483403443896121</v>
      </c>
      <c r="L48" s="1113">
        <f ca="1">+'Cash Flow Analysis'!Q118</f>
        <v>0</v>
      </c>
      <c r="M48" s="1113">
        <f ca="1">+'Cash Flow Analysis'!L118</f>
        <v>8.00769901059783E-4</v>
      </c>
      <c r="N48" s="1113">
        <f ca="1">+'Cash Flow Analysis'!H117</f>
        <v>7.368822645034942E-2</v>
      </c>
      <c r="O48" s="1113">
        <f ca="1">+'Cash Flow Analysis'!I117</f>
        <v>1.0349261193574029E-2</v>
      </c>
      <c r="P48" s="1113">
        <f ca="1">+'Cash Flow Analysis'!J117</f>
        <v>1.3532384735662329E-2</v>
      </c>
      <c r="Q48" s="1113">
        <f ca="1">+'Cash Flow Analysis'!K117</f>
        <v>4.493979107675744E-4</v>
      </c>
      <c r="R48" s="1113">
        <f ca="1">+'Cash Flow Analysis'!M117</f>
        <v>7.9899639237872733E-4</v>
      </c>
      <c r="S48" s="1113">
        <f ca="1">+'Cash Flow Analysis'!N117</f>
        <v>7.2865532650274817E-2</v>
      </c>
      <c r="T48" s="1113">
        <f ca="1">+'Cash Flow Analysis'!O117</f>
        <v>0.82763314128326659</v>
      </c>
      <c r="U48" s="1113">
        <f ca="1">+'Cash Flow Analysis'!P117</f>
        <v>0</v>
      </c>
      <c r="V48" s="1113">
        <f ca="1">+'Cash Flow Analysis'!R117</f>
        <v>9.2095669300620797E-2</v>
      </c>
      <c r="W48" s="1113">
        <f ca="1">+'Cash Flow Analysis'!S117</f>
        <v>4.8408155517525683E-2</v>
      </c>
      <c r="X48" s="1113">
        <f ca="1">+'Cash Flow Analysis'!X117</f>
        <v>7.1457440652860586E-3</v>
      </c>
      <c r="Y48" s="1113">
        <f ca="1">+'Cash Flow Analysis'!Z117</f>
        <v>2.1746047909649352E-3</v>
      </c>
      <c r="Z48" s="1096"/>
      <c r="AA48" s="1096"/>
      <c r="AB48" s="1096"/>
      <c r="AC48" s="1096"/>
      <c r="AD48" s="1096"/>
      <c r="AE48" s="1096"/>
      <c r="AF48" s="1096"/>
      <c r="AG48" s="1096"/>
      <c r="AH48" s="1096"/>
      <c r="AI48" s="1096"/>
      <c r="AJ48" s="1096"/>
      <c r="AK48" s="1096"/>
      <c r="AL48" s="1096"/>
      <c r="AM48" s="1096"/>
      <c r="AN48" s="1096"/>
      <c r="AO48" s="1096"/>
      <c r="AP48" s="1096"/>
      <c r="AQ48" s="1096"/>
      <c r="AR48" s="1096"/>
      <c r="AS48" s="1096"/>
      <c r="AT48" s="1096"/>
      <c r="AU48" s="1096"/>
      <c r="AV48" s="1096"/>
      <c r="AW48" s="1096"/>
      <c r="AX48" s="1096"/>
      <c r="AY48" s="1096"/>
      <c r="AZ48" s="1096"/>
      <c r="BA48" s="1096"/>
      <c r="BB48" s="1096"/>
      <c r="BC48" s="1096"/>
      <c r="BD48" s="1096"/>
      <c r="BE48" s="1096"/>
      <c r="BF48" s="1096"/>
      <c r="BG48" s="1096"/>
      <c r="BH48" s="1096"/>
      <c r="BI48" s="1096"/>
      <c r="BJ48" s="1096"/>
      <c r="BK48" s="1096"/>
      <c r="BL48" s="1096"/>
      <c r="BM48" s="1096"/>
      <c r="BN48" s="1096"/>
      <c r="BO48" s="1096"/>
      <c r="BP48" s="1096"/>
      <c r="BQ48" s="1096"/>
      <c r="BR48" s="1096"/>
      <c r="BS48" s="1096"/>
      <c r="BT48" s="1096"/>
      <c r="BU48" s="1096"/>
    </row>
    <row r="49" spans="1:73" ht="13" x14ac:dyDescent="0.3">
      <c r="A49" s="1096"/>
      <c r="B49" s="1098"/>
      <c r="C49" s="1098"/>
      <c r="D49" s="1098"/>
      <c r="E49" s="1098"/>
      <c r="F49" s="1098"/>
      <c r="G49" s="1098"/>
      <c r="H49" s="1098"/>
      <c r="I49" s="1098"/>
      <c r="J49" s="1098"/>
      <c r="K49" s="1098"/>
      <c r="L49" s="1098"/>
      <c r="M49" s="1098"/>
      <c r="N49" s="1096"/>
      <c r="O49" s="1096"/>
      <c r="P49" s="1096"/>
      <c r="Q49" s="1096"/>
      <c r="R49" s="1096"/>
      <c r="S49" s="1096"/>
      <c r="T49" s="1096"/>
      <c r="U49" s="1096"/>
      <c r="V49" s="1096"/>
      <c r="W49" s="1096"/>
      <c r="X49" s="1096"/>
      <c r="Y49" s="1096"/>
      <c r="Z49" s="1096"/>
      <c r="AA49" s="1096"/>
      <c r="AB49" s="1096"/>
      <c r="AC49" s="1096"/>
      <c r="AD49" s="1096"/>
      <c r="AE49" s="1096"/>
      <c r="AF49" s="1096"/>
      <c r="AG49" s="1096"/>
      <c r="AH49" s="1096"/>
      <c r="AI49" s="1096"/>
      <c r="AJ49" s="1096"/>
      <c r="AK49" s="1096"/>
      <c r="AL49" s="1096"/>
      <c r="AM49" s="1096"/>
      <c r="AN49" s="1096"/>
      <c r="AO49" s="1096"/>
      <c r="AP49" s="1096"/>
      <c r="AQ49" s="1096"/>
      <c r="AR49" s="1096"/>
      <c r="AS49" s="1096"/>
      <c r="AT49" s="1096"/>
      <c r="AU49" s="1096"/>
      <c r="AV49" s="1096"/>
      <c r="AW49" s="1096"/>
      <c r="AX49" s="1096"/>
      <c r="AY49" s="1096"/>
      <c r="AZ49" s="1096"/>
      <c r="BA49" s="1096"/>
      <c r="BB49" s="1096"/>
      <c r="BC49" s="1096"/>
      <c r="BD49" s="1096"/>
      <c r="BE49" s="1096"/>
      <c r="BF49" s="1096"/>
      <c r="BG49" s="1096"/>
      <c r="BH49" s="1096"/>
      <c r="BI49" s="1096"/>
      <c r="BJ49" s="1096"/>
      <c r="BK49" s="1096"/>
      <c r="BL49" s="1096"/>
      <c r="BM49" s="1096"/>
      <c r="BN49" s="1096"/>
      <c r="BO49" s="1096"/>
      <c r="BP49" s="1096"/>
      <c r="BQ49" s="1096"/>
      <c r="BR49" s="1096"/>
      <c r="BS49" s="1096"/>
      <c r="BT49" s="1096"/>
      <c r="BU49" s="1096"/>
    </row>
    <row r="50" spans="1:73" ht="52" x14ac:dyDescent="0.3">
      <c r="A50" s="1096"/>
      <c r="B50" s="1107" t="s">
        <v>1137</v>
      </c>
      <c r="C50" s="1107" t="s">
        <v>1323</v>
      </c>
      <c r="D50" s="1107" t="s">
        <v>1324</v>
      </c>
      <c r="E50" s="1107" t="s">
        <v>1325</v>
      </c>
      <c r="F50" s="1107" t="s">
        <v>1326</v>
      </c>
      <c r="G50" s="1107" t="s">
        <v>1327</v>
      </c>
      <c r="H50" s="1107" t="s">
        <v>1343</v>
      </c>
      <c r="I50" s="1107" t="s">
        <v>1342</v>
      </c>
      <c r="J50" s="1096"/>
      <c r="K50" s="1107" t="s">
        <v>1344</v>
      </c>
      <c r="L50" s="1107" t="s">
        <v>1328</v>
      </c>
      <c r="M50" s="1107" t="s">
        <v>1329</v>
      </c>
      <c r="N50" s="1107" t="s">
        <v>1330</v>
      </c>
      <c r="O50" s="1107" t="s">
        <v>1331</v>
      </c>
      <c r="P50" s="1107" t="s">
        <v>1332</v>
      </c>
      <c r="Q50" s="1107" t="s">
        <v>1333</v>
      </c>
      <c r="R50" s="1107" t="s">
        <v>1334</v>
      </c>
      <c r="S50" s="1107" t="s">
        <v>1335</v>
      </c>
      <c r="T50" s="1107" t="s">
        <v>1336</v>
      </c>
      <c r="U50" s="1107" t="s">
        <v>1337</v>
      </c>
      <c r="V50" s="1107" t="s">
        <v>1338</v>
      </c>
      <c r="W50" s="1107" t="s">
        <v>1339</v>
      </c>
      <c r="X50" s="1107" t="s">
        <v>1340</v>
      </c>
      <c r="Y50" s="1107" t="s">
        <v>1341</v>
      </c>
      <c r="Z50" s="1096"/>
      <c r="AA50" s="1096"/>
      <c r="AB50" s="1096"/>
      <c r="AC50" s="1096"/>
      <c r="AD50" s="1096"/>
      <c r="AE50" s="1096"/>
      <c r="AF50" s="1096"/>
      <c r="AG50" s="1096"/>
      <c r="AH50" s="1096"/>
      <c r="AI50" s="1096"/>
      <c r="AJ50" s="1096"/>
      <c r="AK50" s="1096"/>
      <c r="AL50" s="1096"/>
      <c r="AM50" s="1096"/>
      <c r="AN50" s="1096"/>
      <c r="AO50" s="1096"/>
      <c r="AP50" s="1096"/>
      <c r="AQ50" s="1096"/>
      <c r="AR50" s="1096"/>
      <c r="AS50" s="1096"/>
      <c r="AT50" s="1096"/>
      <c r="AU50" s="1096"/>
      <c r="AV50" s="1096"/>
      <c r="AW50" s="1096"/>
      <c r="AX50" s="1096"/>
      <c r="AY50" s="1096"/>
      <c r="AZ50" s="1096"/>
      <c r="BA50" s="1096"/>
      <c r="BB50" s="1096"/>
      <c r="BC50" s="1096"/>
      <c r="BD50" s="1096"/>
      <c r="BE50" s="1096"/>
      <c r="BF50" s="1096"/>
      <c r="BG50" s="1096"/>
      <c r="BH50" s="1096"/>
      <c r="BI50" s="1096"/>
      <c r="BJ50" s="1096"/>
      <c r="BK50" s="1096"/>
      <c r="BL50" s="1096"/>
      <c r="BM50" s="1096"/>
      <c r="BN50" s="1096"/>
      <c r="BO50" s="1096"/>
      <c r="BP50" s="1096"/>
      <c r="BQ50" s="1096"/>
      <c r="BR50" s="1096"/>
      <c r="BS50" s="1096"/>
      <c r="BT50" s="1096"/>
      <c r="BU50" s="1096"/>
    </row>
    <row r="51" spans="1:73" x14ac:dyDescent="0.25">
      <c r="A51" s="1096"/>
      <c r="B51" s="1108">
        <v>1</v>
      </c>
      <c r="C51" s="1101">
        <v>1</v>
      </c>
      <c r="D51" s="1101">
        <v>1</v>
      </c>
      <c r="E51" s="1101">
        <v>1</v>
      </c>
      <c r="F51" s="1101">
        <v>1</v>
      </c>
      <c r="G51" s="1101">
        <v>1</v>
      </c>
      <c r="H51" s="1101">
        <v>1</v>
      </c>
      <c r="I51" s="1101">
        <v>1</v>
      </c>
      <c r="J51" s="1096"/>
      <c r="K51" s="1114">
        <v>1.1483403443896121</v>
      </c>
      <c r="L51" s="1115">
        <v>0</v>
      </c>
      <c r="M51" s="1115">
        <v>8.00769901059783E-4</v>
      </c>
      <c r="N51" s="1115">
        <v>7.368822645034942E-2</v>
      </c>
      <c r="O51" s="1115">
        <v>1.0349261193574029E-2</v>
      </c>
      <c r="P51" s="1115">
        <v>1.3532384735662329E-2</v>
      </c>
      <c r="Q51" s="1115">
        <v>4.493979107675744E-4</v>
      </c>
      <c r="R51" s="1115">
        <v>7.9899639237872733E-4</v>
      </c>
      <c r="S51" s="1115">
        <v>7.2865532650274817E-2</v>
      </c>
      <c r="T51" s="1115">
        <v>0.82763314128326659</v>
      </c>
      <c r="U51" s="1115">
        <v>0</v>
      </c>
      <c r="V51" s="1115">
        <v>9.2095669300620797E-2</v>
      </c>
      <c r="W51" s="1115">
        <v>4.8408155517525683E-2</v>
      </c>
      <c r="X51" s="1115">
        <v>7.1457440652860586E-3</v>
      </c>
      <c r="Y51" s="1115">
        <v>2.1746047909649352E-3</v>
      </c>
      <c r="Z51" s="1230"/>
      <c r="AA51" s="1096"/>
      <c r="AB51" s="1096"/>
      <c r="AC51" s="1096"/>
      <c r="AD51" s="1096"/>
      <c r="AE51" s="1096"/>
      <c r="AF51" s="1096"/>
      <c r="AG51" s="1096"/>
      <c r="AH51" s="1096"/>
      <c r="AI51" s="1096"/>
      <c r="AJ51" s="1096"/>
      <c r="AK51" s="1096"/>
      <c r="AL51" s="1096"/>
      <c r="AM51" s="1096"/>
      <c r="AN51" s="1096"/>
      <c r="AO51" s="1096"/>
      <c r="AP51" s="1096"/>
      <c r="AQ51" s="1096"/>
      <c r="AR51" s="1096"/>
      <c r="AS51" s="1096"/>
      <c r="AT51" s="1096"/>
      <c r="AU51" s="1096"/>
      <c r="AV51" s="1096"/>
      <c r="AW51" s="1096"/>
      <c r="AX51" s="1096"/>
      <c r="AY51" s="1096"/>
      <c r="AZ51" s="1096"/>
      <c r="BA51" s="1096"/>
      <c r="BB51" s="1096"/>
      <c r="BC51" s="1096"/>
      <c r="BD51" s="1096"/>
      <c r="BE51" s="1096"/>
      <c r="BF51" s="1096"/>
      <c r="BG51" s="1096"/>
      <c r="BH51" s="1096"/>
      <c r="BI51" s="1096"/>
      <c r="BJ51" s="1096"/>
      <c r="BK51" s="1096"/>
      <c r="BL51" s="1096"/>
      <c r="BM51" s="1096"/>
      <c r="BN51" s="1096"/>
      <c r="BO51" s="1096"/>
      <c r="BP51" s="1096"/>
      <c r="BQ51" s="1096"/>
      <c r="BR51" s="1096"/>
      <c r="BS51" s="1096"/>
      <c r="BT51" s="1096"/>
      <c r="BU51" s="1096"/>
    </row>
    <row r="52" spans="1:73" x14ac:dyDescent="0.25">
      <c r="A52" s="1096"/>
      <c r="B52" s="1116">
        <f>+B51+1</f>
        <v>2</v>
      </c>
      <c r="C52" s="1117">
        <f>+F3</f>
        <v>1.05</v>
      </c>
      <c r="D52" s="1117">
        <v>1</v>
      </c>
      <c r="E52" s="1117">
        <v>1</v>
      </c>
      <c r="F52" s="1117">
        <v>1</v>
      </c>
      <c r="G52" s="1117">
        <v>1</v>
      </c>
      <c r="H52" s="1117">
        <v>1</v>
      </c>
      <c r="I52" s="1117">
        <v>1</v>
      </c>
      <c r="J52" s="1096"/>
      <c r="K52" s="1114">
        <v>1.1370562518156271</v>
      </c>
      <c r="L52" s="1115">
        <v>0</v>
      </c>
      <c r="M52" s="1115">
        <v>7.6263800100931725E-4</v>
      </c>
      <c r="N52" s="1115">
        <v>7.0179263286047067E-2</v>
      </c>
      <c r="O52" s="1115">
        <v>9.8564392319752652E-3</v>
      </c>
      <c r="P52" s="1115">
        <v>1.3468927852688519E-2</v>
      </c>
      <c r="Q52" s="1115">
        <v>4.279980102548327E-4</v>
      </c>
      <c r="R52" s="1115">
        <v>7.6094894512259738E-4</v>
      </c>
      <c r="S52" s="1115">
        <v>6.9395745381214097E-2</v>
      </c>
      <c r="T52" s="1115">
        <v>0.82763314128326637</v>
      </c>
      <c r="U52" s="1115">
        <v>0</v>
      </c>
      <c r="V52" s="1115">
        <v>9.0915531609155012E-2</v>
      </c>
      <c r="W52" s="1115">
        <v>4.6103005254786361E-2</v>
      </c>
      <c r="X52" s="1115">
        <v>7.006836780254655E-3</v>
      </c>
      <c r="Y52" s="1115">
        <v>2.0710521818713668E-3</v>
      </c>
      <c r="Z52" s="1230"/>
      <c r="AA52" s="1096"/>
      <c r="AB52" s="1096"/>
      <c r="AC52" s="1096"/>
      <c r="AD52" s="1096"/>
      <c r="AE52" s="1096"/>
      <c r="AF52" s="1096"/>
      <c r="AG52" s="1096"/>
      <c r="AH52" s="1096"/>
      <c r="AI52" s="1096"/>
      <c r="AJ52" s="1096"/>
      <c r="AK52" s="1096"/>
      <c r="AL52" s="1096"/>
      <c r="AM52" s="1096"/>
      <c r="AN52" s="1096"/>
      <c r="AO52" s="1096"/>
      <c r="AP52" s="1096"/>
      <c r="AQ52" s="1096"/>
      <c r="AR52" s="1096"/>
      <c r="AS52" s="1096"/>
      <c r="AT52" s="1096"/>
      <c r="AU52" s="1096"/>
      <c r="AV52" s="1096"/>
      <c r="AW52" s="1096"/>
      <c r="AX52" s="1096"/>
      <c r="AY52" s="1096"/>
      <c r="AZ52" s="1096"/>
      <c r="BA52" s="1096"/>
      <c r="BB52" s="1096"/>
      <c r="BC52" s="1096"/>
      <c r="BD52" s="1096"/>
      <c r="BE52" s="1096"/>
      <c r="BF52" s="1096"/>
      <c r="BG52" s="1096"/>
      <c r="BH52" s="1096"/>
      <c r="BI52" s="1096"/>
      <c r="BJ52" s="1096"/>
      <c r="BK52" s="1096"/>
      <c r="BL52" s="1096"/>
      <c r="BM52" s="1096"/>
      <c r="BN52" s="1096"/>
      <c r="BO52" s="1096"/>
      <c r="BP52" s="1096"/>
      <c r="BQ52" s="1096"/>
      <c r="BR52" s="1096"/>
      <c r="BS52" s="1096"/>
      <c r="BT52" s="1096"/>
      <c r="BU52" s="1096"/>
    </row>
    <row r="53" spans="1:73" x14ac:dyDescent="0.25">
      <c r="A53" s="1096"/>
      <c r="B53" s="1116">
        <f t="shared" ref="B53:B70" si="6">+B52+1</f>
        <v>3</v>
      </c>
      <c r="C53" s="1117">
        <f>+G3</f>
        <v>0.95</v>
      </c>
      <c r="D53" s="1117">
        <v>1</v>
      </c>
      <c r="E53" s="1117">
        <v>1</v>
      </c>
      <c r="F53" s="1117">
        <v>1</v>
      </c>
      <c r="G53" s="1117">
        <v>1</v>
      </c>
      <c r="H53" s="1117">
        <v>1</v>
      </c>
      <c r="I53" s="1117">
        <v>1</v>
      </c>
      <c r="J53" s="1096"/>
      <c r="K53" s="1114">
        <v>1.1608122361819102</v>
      </c>
      <c r="L53" s="1115">
        <v>0</v>
      </c>
      <c r="M53" s="1115">
        <v>8.4291568532608729E-4</v>
      </c>
      <c r="N53" s="1115">
        <v>7.7566554158262538E-2</v>
      </c>
      <c r="O53" s="1115">
        <v>1.0893959151130556E-2</v>
      </c>
      <c r="P53" s="1115">
        <v>1.3602521290528117E-2</v>
      </c>
      <c r="Q53" s="1115">
        <v>4.7305043238692041E-4</v>
      </c>
      <c r="R53" s="1115">
        <v>8.4104883408287075E-4</v>
      </c>
      <c r="S53" s="1115">
        <v>7.6700560684499805E-2</v>
      </c>
      <c r="T53" s="1115">
        <v>0.8276331412832667</v>
      </c>
      <c r="U53" s="1115">
        <v>0</v>
      </c>
      <c r="V53" s="1115">
        <v>9.3400032012240827E-2</v>
      </c>
      <c r="W53" s="1115">
        <v>5.0955953176342814E-2</v>
      </c>
      <c r="X53" s="1115">
        <v>7.2992731697943342E-3</v>
      </c>
      <c r="Y53" s="1115">
        <v>2.2890576746999311E-3</v>
      </c>
      <c r="Z53" s="1230"/>
      <c r="AA53" s="1096"/>
      <c r="AB53" s="1096"/>
      <c r="AC53" s="1096"/>
      <c r="AD53" s="1096"/>
      <c r="AE53" s="1096"/>
      <c r="AF53" s="1096"/>
      <c r="AG53" s="1096"/>
      <c r="AH53" s="1096"/>
      <c r="AI53" s="1096"/>
      <c r="AJ53" s="1096"/>
      <c r="AK53" s="1096"/>
      <c r="AL53" s="1096"/>
      <c r="AM53" s="1096"/>
      <c r="AN53" s="1096"/>
      <c r="AO53" s="1096"/>
      <c r="AP53" s="1096"/>
      <c r="AQ53" s="1096"/>
      <c r="AR53" s="1096"/>
      <c r="AS53" s="1096"/>
      <c r="AT53" s="1096"/>
      <c r="AU53" s="1096"/>
      <c r="AV53" s="1096"/>
      <c r="AW53" s="1096"/>
      <c r="AX53" s="1096"/>
      <c r="AY53" s="1096"/>
      <c r="AZ53" s="1096"/>
      <c r="BA53" s="1096"/>
      <c r="BB53" s="1096"/>
      <c r="BC53" s="1096"/>
      <c r="BD53" s="1096"/>
      <c r="BE53" s="1096"/>
      <c r="BF53" s="1096"/>
      <c r="BG53" s="1096"/>
      <c r="BH53" s="1096"/>
      <c r="BI53" s="1096"/>
      <c r="BJ53" s="1096"/>
      <c r="BK53" s="1096"/>
      <c r="BL53" s="1096"/>
      <c r="BM53" s="1096"/>
      <c r="BN53" s="1096"/>
      <c r="BO53" s="1096"/>
      <c r="BP53" s="1096"/>
      <c r="BQ53" s="1096"/>
      <c r="BR53" s="1096"/>
      <c r="BS53" s="1096"/>
      <c r="BT53" s="1096"/>
      <c r="BU53" s="1096"/>
    </row>
    <row r="54" spans="1:73" x14ac:dyDescent="0.25">
      <c r="A54" s="1096"/>
      <c r="B54" s="1108">
        <f t="shared" si="6"/>
        <v>4</v>
      </c>
      <c r="C54" s="1101">
        <v>1</v>
      </c>
      <c r="D54" s="1101">
        <f>+F4</f>
        <v>1.05</v>
      </c>
      <c r="E54" s="1101">
        <v>1</v>
      </c>
      <c r="F54" s="1101">
        <v>1</v>
      </c>
      <c r="G54" s="1101">
        <v>1</v>
      </c>
      <c r="H54" s="1101">
        <v>1</v>
      </c>
      <c r="I54" s="1101">
        <v>1</v>
      </c>
      <c r="J54" s="1096"/>
      <c r="K54" s="1114">
        <v>1.1438493361582245</v>
      </c>
      <c r="L54" s="1115">
        <v>0</v>
      </c>
      <c r="M54" s="1115">
        <v>7.8529353320430271E-4</v>
      </c>
      <c r="N54" s="1115">
        <v>7.2264064406228831E-2</v>
      </c>
      <c r="O54" s="1115">
        <v>1.0149242470277582E-2</v>
      </c>
      <c r="P54" s="1115">
        <v>1.3507819832605366E-2</v>
      </c>
      <c r="Q54" s="1115">
        <v>4.4071246021390285E-4</v>
      </c>
      <c r="R54" s="1115">
        <v>7.8355430087742378E-4</v>
      </c>
      <c r="S54" s="1115">
        <v>7.106549220510118E-2</v>
      </c>
      <c r="T54" s="1115">
        <v>0.82763314128326637</v>
      </c>
      <c r="U54" s="1115">
        <v>0</v>
      </c>
      <c r="V54" s="1115">
        <v>9.2095669300620839E-2</v>
      </c>
      <c r="W54" s="1115">
        <v>4.7472577867812546E-2</v>
      </c>
      <c r="X54" s="1115">
        <v>7.0897790560418587E-3</v>
      </c>
      <c r="Y54" s="1115">
        <v>2.132576508382483E-3</v>
      </c>
      <c r="Z54" s="1230"/>
      <c r="AA54" s="1096"/>
      <c r="AB54" s="1096"/>
      <c r="AC54" s="1096"/>
      <c r="AD54" s="1096"/>
      <c r="AE54" s="1096"/>
      <c r="AF54" s="1096"/>
      <c r="AG54" s="1096"/>
      <c r="AH54" s="1096"/>
      <c r="AI54" s="1096"/>
      <c r="AJ54" s="1096"/>
      <c r="AK54" s="1096"/>
      <c r="AL54" s="1096"/>
      <c r="AM54" s="1096"/>
      <c r="AN54" s="1096"/>
      <c r="AO54" s="1096"/>
      <c r="AP54" s="1096"/>
      <c r="AQ54" s="1096"/>
      <c r="AR54" s="1096"/>
      <c r="AS54" s="1096"/>
      <c r="AT54" s="1096"/>
      <c r="AU54" s="1096"/>
      <c r="AV54" s="1096"/>
      <c r="AW54" s="1096"/>
      <c r="AX54" s="1096"/>
      <c r="AY54" s="1096"/>
      <c r="AZ54" s="1096"/>
      <c r="BA54" s="1096"/>
      <c r="BB54" s="1096"/>
      <c r="BC54" s="1096"/>
      <c r="BD54" s="1096"/>
      <c r="BE54" s="1096"/>
      <c r="BF54" s="1096"/>
      <c r="BG54" s="1096"/>
      <c r="BH54" s="1096"/>
      <c r="BI54" s="1096"/>
      <c r="BJ54" s="1096"/>
      <c r="BK54" s="1096"/>
      <c r="BL54" s="1096"/>
      <c r="BM54" s="1096"/>
      <c r="BN54" s="1096"/>
      <c r="BO54" s="1096"/>
      <c r="BP54" s="1096"/>
      <c r="BQ54" s="1096"/>
      <c r="BR54" s="1096"/>
      <c r="BS54" s="1096"/>
      <c r="BT54" s="1096"/>
      <c r="BU54" s="1096"/>
    </row>
    <row r="55" spans="1:73" x14ac:dyDescent="0.25">
      <c r="A55" s="1096"/>
      <c r="B55" s="1108">
        <f t="shared" si="6"/>
        <v>5</v>
      </c>
      <c r="C55" s="1101">
        <v>1</v>
      </c>
      <c r="D55" s="1101">
        <f>+G4</f>
        <v>0.95</v>
      </c>
      <c r="E55" s="1101">
        <v>1</v>
      </c>
      <c r="F55" s="1101">
        <v>1</v>
      </c>
      <c r="G55" s="1101">
        <v>1</v>
      </c>
      <c r="H55" s="1101">
        <v>1</v>
      </c>
      <c r="I55" s="1101">
        <v>1</v>
      </c>
      <c r="J55" s="1096"/>
      <c r="K55" s="1114">
        <v>1.1531735923681137</v>
      </c>
      <c r="L55" s="1115">
        <v>0</v>
      </c>
      <c r="M55" s="1115">
        <v>8.1736925639065607E-4</v>
      </c>
      <c r="N55" s="1115">
        <v>7.5215727737463683E-2</v>
      </c>
      <c r="O55" s="1115">
        <v>1.0563793562656324E-2</v>
      </c>
      <c r="P55" s="1115">
        <v>1.3558951414059391E-2</v>
      </c>
      <c r="Q55" s="1115">
        <v>4.5871359008557873E-4</v>
      </c>
      <c r="R55" s="1115">
        <v>8.1555898421394404E-4</v>
      </c>
      <c r="S55" s="1115">
        <v>7.481225702764073E-2</v>
      </c>
      <c r="T55" s="1115">
        <v>0.82763314128326693</v>
      </c>
      <c r="U55" s="1115">
        <v>0</v>
      </c>
      <c r="V55" s="1115">
        <v>9.2095669300620797E-2</v>
      </c>
      <c r="W55" s="1115">
        <v>4.9411620024975463E-2</v>
      </c>
      <c r="X55" s="1115">
        <v>7.2058459934369332E-3</v>
      </c>
      <c r="Y55" s="1115">
        <v>2.2196827060834644E-3</v>
      </c>
      <c r="Z55" s="1230"/>
      <c r="AA55" s="1096"/>
      <c r="AB55" s="1096"/>
      <c r="AC55" s="1096"/>
      <c r="AD55" s="1096"/>
      <c r="AE55" s="1096"/>
      <c r="AF55" s="1096"/>
      <c r="AG55" s="1096"/>
      <c r="AH55" s="1096"/>
      <c r="AI55" s="1096"/>
      <c r="AJ55" s="1096"/>
      <c r="AK55" s="1096"/>
      <c r="AL55" s="1096"/>
      <c r="AM55" s="1096"/>
      <c r="AN55" s="1096"/>
      <c r="AO55" s="1096"/>
      <c r="AP55" s="1096"/>
      <c r="AQ55" s="1096"/>
      <c r="AR55" s="1096"/>
      <c r="AS55" s="1096"/>
      <c r="AT55" s="1096"/>
      <c r="AU55" s="1096"/>
      <c r="AV55" s="1096"/>
      <c r="AW55" s="1096"/>
      <c r="AX55" s="1096"/>
      <c r="AY55" s="1096"/>
      <c r="AZ55" s="1096"/>
      <c r="BA55" s="1096"/>
      <c r="BB55" s="1096"/>
      <c r="BC55" s="1096"/>
      <c r="BD55" s="1096"/>
      <c r="BE55" s="1096"/>
      <c r="BF55" s="1096"/>
      <c r="BG55" s="1096"/>
      <c r="BH55" s="1096"/>
      <c r="BI55" s="1096"/>
      <c r="BJ55" s="1096"/>
      <c r="BK55" s="1096"/>
      <c r="BL55" s="1096"/>
      <c r="BM55" s="1096"/>
      <c r="BN55" s="1096"/>
      <c r="BO55" s="1096"/>
      <c r="BP55" s="1096"/>
      <c r="BQ55" s="1096"/>
      <c r="BR55" s="1096"/>
      <c r="BS55" s="1096"/>
      <c r="BT55" s="1096"/>
      <c r="BU55" s="1096"/>
    </row>
    <row r="56" spans="1:73" x14ac:dyDescent="0.25">
      <c r="A56" s="1096"/>
      <c r="B56" s="1116">
        <f t="shared" si="6"/>
        <v>6</v>
      </c>
      <c r="C56" s="1117">
        <v>1</v>
      </c>
      <c r="D56" s="1117">
        <v>1</v>
      </c>
      <c r="E56" s="1117">
        <f>+F5</f>
        <v>0.95</v>
      </c>
      <c r="F56" s="1117">
        <v>1</v>
      </c>
      <c r="G56" s="1117">
        <v>1</v>
      </c>
      <c r="H56" s="1117">
        <v>1</v>
      </c>
      <c r="I56" s="1117">
        <v>1</v>
      </c>
      <c r="J56" s="1096"/>
      <c r="K56" s="1114">
        <v>1.1461985173255709</v>
      </c>
      <c r="L56" s="1115">
        <v>0</v>
      </c>
      <c r="M56" s="1115">
        <v>8.8791669525435516E-4</v>
      </c>
      <c r="N56" s="1115">
        <v>7.023231164183219E-2</v>
      </c>
      <c r="O56" s="1115">
        <v>1.0332963050295596E-2</v>
      </c>
      <c r="P56" s="1115">
        <v>1.306825985797838E-2</v>
      </c>
      <c r="Q56" s="1115">
        <v>4.2639607246159424E-4</v>
      </c>
      <c r="R56" s="1115">
        <v>8.8595017782531127E-4</v>
      </c>
      <c r="S56" s="1115">
        <v>7.2807022071961255E-2</v>
      </c>
      <c r="T56" s="1115">
        <v>0.83098380877630285</v>
      </c>
      <c r="U56" s="1115">
        <v>0</v>
      </c>
      <c r="V56" s="1115">
        <v>9.2089203568719413E-2</v>
      </c>
      <c r="W56" s="1115">
        <v>4.7557872871080577E-2</v>
      </c>
      <c r="X56" s="1115">
        <v>6.2913816017244736E-3</v>
      </c>
      <c r="Y56" s="1115">
        <v>2.4112643306428679E-3</v>
      </c>
      <c r="Z56" s="1230"/>
      <c r="AA56" s="1096"/>
      <c r="AB56" s="1096"/>
      <c r="AC56" s="1096"/>
      <c r="AD56" s="1096"/>
      <c r="AE56" s="1096"/>
      <c r="AF56" s="1096"/>
      <c r="AG56" s="1096"/>
      <c r="AH56" s="1096"/>
      <c r="AI56" s="1096"/>
      <c r="AJ56" s="1096"/>
      <c r="AK56" s="1096"/>
      <c r="AL56" s="1096"/>
      <c r="AM56" s="1096"/>
      <c r="AN56" s="1096"/>
      <c r="AO56" s="1096"/>
      <c r="AP56" s="1096"/>
      <c r="AQ56" s="1096"/>
      <c r="AR56" s="1096"/>
      <c r="AS56" s="1096"/>
      <c r="AT56" s="1096"/>
      <c r="AU56" s="1096"/>
      <c r="AV56" s="1096"/>
      <c r="AW56" s="1096"/>
      <c r="AX56" s="1096"/>
      <c r="AY56" s="1096"/>
      <c r="AZ56" s="1096"/>
      <c r="BA56" s="1096"/>
      <c r="BB56" s="1096"/>
      <c r="BC56" s="1096"/>
      <c r="BD56" s="1096"/>
      <c r="BE56" s="1096"/>
      <c r="BF56" s="1096"/>
      <c r="BG56" s="1096"/>
      <c r="BH56" s="1096"/>
      <c r="BI56" s="1096"/>
      <c r="BJ56" s="1096"/>
      <c r="BK56" s="1096"/>
      <c r="BL56" s="1096"/>
      <c r="BM56" s="1096"/>
      <c r="BN56" s="1096"/>
      <c r="BO56" s="1096"/>
      <c r="BP56" s="1096"/>
      <c r="BQ56" s="1096"/>
      <c r="BR56" s="1096"/>
      <c r="BS56" s="1096"/>
      <c r="BT56" s="1096"/>
      <c r="BU56" s="1096"/>
    </row>
    <row r="57" spans="1:73" x14ac:dyDescent="0.25">
      <c r="A57" s="1096"/>
      <c r="B57" s="1116">
        <f t="shared" si="6"/>
        <v>7</v>
      </c>
      <c r="C57" s="1117">
        <v>1</v>
      </c>
      <c r="D57" s="1117">
        <v>1</v>
      </c>
      <c r="E57" s="1117">
        <f>+G5</f>
        <v>1.05</v>
      </c>
      <c r="F57" s="1117">
        <v>1</v>
      </c>
      <c r="G57" s="1117">
        <v>1</v>
      </c>
      <c r="H57" s="1117">
        <v>1</v>
      </c>
      <c r="I57" s="1117">
        <v>1</v>
      </c>
      <c r="J57" s="1096"/>
      <c r="K57" s="1114">
        <v>1.150693586435334</v>
      </c>
      <c r="L57" s="1115">
        <v>0</v>
      </c>
      <c r="M57" s="1115">
        <v>7.2159527936608355E-4</v>
      </c>
      <c r="N57" s="1115">
        <v>7.7209143420055998E-2</v>
      </c>
      <c r="O57" s="1115">
        <v>1.0365687619318199E-2</v>
      </c>
      <c r="P57" s="1115">
        <v>1.3990529213133424E-2</v>
      </c>
      <c r="Q57" s="1115">
        <v>4.7298690136872028E-4</v>
      </c>
      <c r="R57" s="1115">
        <v>7.1999712302870018E-4</v>
      </c>
      <c r="S57" s="1115">
        <v>7.292450376456043E-2</v>
      </c>
      <c r="T57" s="1115">
        <v>0.82436341620038445</v>
      </c>
      <c r="U57" s="1115">
        <v>0</v>
      </c>
      <c r="V57" s="1115">
        <v>9.210412262253069E-2</v>
      </c>
      <c r="W57" s="1115">
        <v>4.9264456307007043E-2</v>
      </c>
      <c r="X57" s="1115">
        <v>8.0407437214150296E-3</v>
      </c>
      <c r="Y57" s="1115">
        <v>1.9595948218963039E-3</v>
      </c>
      <c r="Z57" s="1230"/>
      <c r="AA57" s="1096"/>
      <c r="AB57" s="1096"/>
      <c r="AC57" s="1096"/>
      <c r="AD57" s="1096"/>
      <c r="AE57" s="1096"/>
      <c r="AF57" s="1096"/>
      <c r="AG57" s="1096"/>
      <c r="AH57" s="1096"/>
      <c r="AI57" s="1096"/>
      <c r="AJ57" s="1096"/>
      <c r="AK57" s="1096"/>
      <c r="AL57" s="1096"/>
      <c r="AM57" s="1096"/>
      <c r="AN57" s="1096"/>
      <c r="AO57" s="1096"/>
      <c r="AP57" s="1096"/>
      <c r="AQ57" s="1096"/>
      <c r="AR57" s="1096"/>
      <c r="AS57" s="1096"/>
      <c r="AT57" s="1096"/>
      <c r="AU57" s="1096"/>
      <c r="AV57" s="1096"/>
      <c r="AW57" s="1096"/>
      <c r="AX57" s="1096"/>
      <c r="AY57" s="1096"/>
      <c r="AZ57" s="1096"/>
      <c r="BA57" s="1096"/>
      <c r="BB57" s="1096"/>
      <c r="BC57" s="1096"/>
      <c r="BD57" s="1096"/>
      <c r="BE57" s="1096"/>
      <c r="BF57" s="1096"/>
      <c r="BG57" s="1096"/>
      <c r="BH57" s="1096"/>
      <c r="BI57" s="1096"/>
      <c r="BJ57" s="1096"/>
      <c r="BK57" s="1096"/>
      <c r="BL57" s="1096"/>
      <c r="BM57" s="1096"/>
      <c r="BN57" s="1096"/>
      <c r="BO57" s="1096"/>
      <c r="BP57" s="1096"/>
      <c r="BQ57" s="1096"/>
      <c r="BR57" s="1096"/>
      <c r="BS57" s="1096"/>
      <c r="BT57" s="1096"/>
      <c r="BU57" s="1096"/>
    </row>
    <row r="58" spans="1:73" x14ac:dyDescent="0.25">
      <c r="A58" s="1096"/>
      <c r="B58" s="1108">
        <f t="shared" si="6"/>
        <v>8</v>
      </c>
      <c r="C58" s="1101">
        <v>1</v>
      </c>
      <c r="D58" s="1101">
        <v>1</v>
      </c>
      <c r="E58" s="1101">
        <v>1</v>
      </c>
      <c r="F58" s="1101">
        <f>+F6</f>
        <v>0.95</v>
      </c>
      <c r="G58" s="1101">
        <v>1</v>
      </c>
      <c r="H58" s="1101">
        <v>1</v>
      </c>
      <c r="I58" s="1101">
        <v>1</v>
      </c>
      <c r="J58" s="1096"/>
      <c r="K58" s="1114">
        <v>1.1061991008873879</v>
      </c>
      <c r="L58" s="1115">
        <v>0</v>
      </c>
      <c r="M58" s="1115">
        <v>8.00769901059783E-4</v>
      </c>
      <c r="N58" s="1115">
        <v>7.368822645034942E-2</v>
      </c>
      <c r="O58" s="1115">
        <v>1.0349261193574029E-2</v>
      </c>
      <c r="P58" s="1115">
        <v>1.2968315846758406E-2</v>
      </c>
      <c r="Q58" s="1115">
        <v>4.493979107675744E-4</v>
      </c>
      <c r="R58" s="1115">
        <v>7.9899639237872733E-4</v>
      </c>
      <c r="S58" s="1115">
        <v>7.2865532650274817E-2</v>
      </c>
      <c r="T58" s="1115">
        <v>0.78625148421910351</v>
      </c>
      <c r="U58" s="1115">
        <v>0</v>
      </c>
      <c r="V58" s="1115">
        <v>9.2095669300620797E-2</v>
      </c>
      <c r="W58" s="1115">
        <v>4.8408155517525683E-2</v>
      </c>
      <c r="X58" s="1115">
        <v>6.9502265161292282E-3</v>
      </c>
      <c r="Y58" s="1115">
        <v>2.1746047909649352E-3</v>
      </c>
      <c r="Z58" s="1230"/>
      <c r="AA58" s="1096"/>
      <c r="AB58" s="1096"/>
      <c r="AC58" s="1096"/>
      <c r="AD58" s="1096"/>
      <c r="AE58" s="1096"/>
      <c r="AF58" s="1096"/>
      <c r="AG58" s="1096"/>
      <c r="AH58" s="1096"/>
      <c r="AI58" s="1096"/>
      <c r="AJ58" s="1096"/>
      <c r="AK58" s="1096"/>
      <c r="AL58" s="1096"/>
      <c r="AM58" s="1096"/>
      <c r="AN58" s="1096"/>
      <c r="AO58" s="1096"/>
      <c r="AP58" s="1096"/>
      <c r="AQ58" s="1096"/>
      <c r="AR58" s="1096"/>
      <c r="AS58" s="1096"/>
      <c r="AT58" s="1096"/>
      <c r="AU58" s="1096"/>
      <c r="AV58" s="1096"/>
      <c r="AW58" s="1096"/>
      <c r="AX58" s="1096"/>
      <c r="AY58" s="1096"/>
      <c r="AZ58" s="1096"/>
      <c r="BA58" s="1096"/>
      <c r="BB58" s="1096"/>
      <c r="BC58" s="1096"/>
      <c r="BD58" s="1096"/>
      <c r="BE58" s="1096"/>
      <c r="BF58" s="1096"/>
      <c r="BG58" s="1096"/>
      <c r="BH58" s="1096"/>
      <c r="BI58" s="1096"/>
      <c r="BJ58" s="1096"/>
      <c r="BK58" s="1096"/>
      <c r="BL58" s="1096"/>
      <c r="BM58" s="1096"/>
      <c r="BN58" s="1096"/>
      <c r="BO58" s="1096"/>
      <c r="BP58" s="1096"/>
      <c r="BQ58" s="1096"/>
      <c r="BR58" s="1096"/>
      <c r="BS58" s="1096"/>
      <c r="BT58" s="1096"/>
      <c r="BU58" s="1096"/>
    </row>
    <row r="59" spans="1:73" x14ac:dyDescent="0.25">
      <c r="A59" s="1096"/>
      <c r="B59" s="1108">
        <f t="shared" si="6"/>
        <v>9</v>
      </c>
      <c r="C59" s="1101">
        <v>1</v>
      </c>
      <c r="D59" s="1101">
        <v>1</v>
      </c>
      <c r="E59" s="1101">
        <v>1</v>
      </c>
      <c r="F59" s="1101">
        <f>+G6</f>
        <v>1.05</v>
      </c>
      <c r="G59" s="1101">
        <v>1</v>
      </c>
      <c r="H59" s="1101">
        <v>1</v>
      </c>
      <c r="I59" s="1101">
        <v>1</v>
      </c>
      <c r="J59" s="1096"/>
      <c r="K59" s="1114">
        <v>1.1904815878918364</v>
      </c>
      <c r="L59" s="1115">
        <v>0</v>
      </c>
      <c r="M59" s="1115">
        <v>8.00769901059783E-4</v>
      </c>
      <c r="N59" s="1115">
        <v>7.368822645034942E-2</v>
      </c>
      <c r="O59" s="1115">
        <v>1.0349261193574029E-2</v>
      </c>
      <c r="P59" s="1115">
        <v>1.4096453624566256E-2</v>
      </c>
      <c r="Q59" s="1115">
        <v>4.493979107675744E-4</v>
      </c>
      <c r="R59" s="1115">
        <v>7.9899639237872733E-4</v>
      </c>
      <c r="S59" s="1115">
        <v>7.2865532650274817E-2</v>
      </c>
      <c r="T59" s="1115">
        <v>0.86901479834742978</v>
      </c>
      <c r="U59" s="1115">
        <v>0</v>
      </c>
      <c r="V59" s="1115">
        <v>9.2095669300620797E-2</v>
      </c>
      <c r="W59" s="1115">
        <v>4.8408155517525683E-2</v>
      </c>
      <c r="X59" s="1115">
        <v>7.341261614442823E-3</v>
      </c>
      <c r="Y59" s="1115">
        <v>2.1746047909649352E-3</v>
      </c>
      <c r="Z59" s="1230"/>
      <c r="AA59" s="1096"/>
      <c r="AB59" s="1096"/>
      <c r="AC59" s="1096"/>
      <c r="AD59" s="1096"/>
      <c r="AE59" s="1096"/>
      <c r="AF59" s="1096"/>
      <c r="AG59" s="1096"/>
      <c r="AH59" s="1096"/>
      <c r="AI59" s="1096"/>
      <c r="AJ59" s="1096"/>
      <c r="AK59" s="1096"/>
      <c r="AL59" s="1096"/>
      <c r="AM59" s="1096"/>
      <c r="AN59" s="1096"/>
      <c r="AO59" s="1096"/>
      <c r="AP59" s="1096"/>
      <c r="AQ59" s="1096"/>
      <c r="AR59" s="1096"/>
      <c r="AS59" s="1096"/>
      <c r="AT59" s="1096"/>
      <c r="AU59" s="1096"/>
      <c r="AV59" s="1096"/>
      <c r="AW59" s="1096"/>
      <c r="AX59" s="1096"/>
      <c r="AY59" s="1096"/>
      <c r="AZ59" s="1096"/>
      <c r="BA59" s="1096"/>
      <c r="BB59" s="1096"/>
      <c r="BC59" s="1096"/>
      <c r="BD59" s="1096"/>
      <c r="BE59" s="1096"/>
      <c r="BF59" s="1096"/>
      <c r="BG59" s="1096"/>
      <c r="BH59" s="1096"/>
      <c r="BI59" s="1096"/>
      <c r="BJ59" s="1096"/>
      <c r="BK59" s="1096"/>
      <c r="BL59" s="1096"/>
      <c r="BM59" s="1096"/>
      <c r="BN59" s="1096"/>
      <c r="BO59" s="1096"/>
      <c r="BP59" s="1096"/>
      <c r="BQ59" s="1096"/>
      <c r="BR59" s="1096"/>
      <c r="BS59" s="1096"/>
      <c r="BT59" s="1096"/>
      <c r="BU59" s="1096"/>
    </row>
    <row r="60" spans="1:73" x14ac:dyDescent="0.25">
      <c r="A60" s="1096"/>
      <c r="B60" s="1116">
        <f t="shared" si="6"/>
        <v>10</v>
      </c>
      <c r="C60" s="1117">
        <v>1</v>
      </c>
      <c r="D60" s="1117">
        <v>1</v>
      </c>
      <c r="E60" s="1117">
        <v>1</v>
      </c>
      <c r="F60" s="1117">
        <v>1</v>
      </c>
      <c r="G60" s="1117">
        <f>+F7</f>
        <v>0.95</v>
      </c>
      <c r="H60" s="1117">
        <v>1</v>
      </c>
      <c r="I60" s="1117">
        <v>1</v>
      </c>
      <c r="J60" s="1096"/>
      <c r="K60" s="1114">
        <v>1.146163411082268</v>
      </c>
      <c r="L60" s="1115">
        <v>0</v>
      </c>
      <c r="M60" s="1115">
        <v>8.00769901059783E-4</v>
      </c>
      <c r="N60" s="1115">
        <v>7.368822645034942E-2</v>
      </c>
      <c r="O60" s="1115">
        <v>1.0349261193574029E-2</v>
      </c>
      <c r="P60" s="1115">
        <v>1.3503222140607963E-2</v>
      </c>
      <c r="Q60" s="1115">
        <v>4.493979107675744E-4</v>
      </c>
      <c r="R60" s="1115">
        <v>7.9899639237872733E-4</v>
      </c>
      <c r="S60" s="1115">
        <v>7.2865532650274817E-2</v>
      </c>
      <c r="T60" s="1115">
        <v>0.82763314128326659</v>
      </c>
      <c r="U60" s="1115">
        <v>0</v>
      </c>
      <c r="V60" s="1115">
        <v>8.9958006926558115E-2</v>
      </c>
      <c r="W60" s="1115">
        <v>4.8408155517525683E-2</v>
      </c>
      <c r="X60" s="1115">
        <v>7.1356357270595042E-3</v>
      </c>
      <c r="Y60" s="1115">
        <v>2.1746047909649352E-3</v>
      </c>
      <c r="Z60" s="1230"/>
      <c r="AA60" s="1096"/>
      <c r="AB60" s="1096"/>
      <c r="AC60" s="1096"/>
      <c r="AD60" s="1096"/>
      <c r="AE60" s="1096"/>
      <c r="AF60" s="1096"/>
      <c r="AG60" s="1096"/>
      <c r="AH60" s="1096"/>
      <c r="AI60" s="1096"/>
      <c r="AJ60" s="1096"/>
      <c r="AK60" s="1096"/>
      <c r="AL60" s="1096"/>
      <c r="AM60" s="1096"/>
      <c r="AN60" s="1096"/>
      <c r="AO60" s="1096"/>
      <c r="AP60" s="1096"/>
      <c r="AQ60" s="1096"/>
      <c r="AR60" s="1096"/>
      <c r="AS60" s="1096"/>
      <c r="AT60" s="1096"/>
      <c r="AU60" s="1096"/>
      <c r="AV60" s="1096"/>
      <c r="AW60" s="1096"/>
      <c r="AX60" s="1096"/>
      <c r="AY60" s="1096"/>
      <c r="AZ60" s="1096"/>
      <c r="BA60" s="1096"/>
      <c r="BB60" s="1096"/>
      <c r="BC60" s="1096"/>
      <c r="BD60" s="1096"/>
      <c r="BE60" s="1096"/>
      <c r="BF60" s="1096"/>
      <c r="BG60" s="1096"/>
      <c r="BH60" s="1096"/>
      <c r="BI60" s="1096"/>
      <c r="BJ60" s="1096"/>
      <c r="BK60" s="1096"/>
      <c r="BL60" s="1096"/>
      <c r="BM60" s="1096"/>
      <c r="BN60" s="1096"/>
      <c r="BO60" s="1096"/>
      <c r="BP60" s="1096"/>
      <c r="BQ60" s="1096"/>
      <c r="BR60" s="1096"/>
      <c r="BS60" s="1096"/>
      <c r="BT60" s="1096"/>
      <c r="BU60" s="1096"/>
    </row>
    <row r="61" spans="1:73" x14ac:dyDescent="0.25">
      <c r="A61" s="1096"/>
      <c r="B61" s="1116">
        <f t="shared" si="6"/>
        <v>11</v>
      </c>
      <c r="C61" s="1117">
        <v>1</v>
      </c>
      <c r="D61" s="1117">
        <v>1</v>
      </c>
      <c r="E61" s="1117">
        <v>1</v>
      </c>
      <c r="F61" s="1117">
        <v>1</v>
      </c>
      <c r="G61" s="1117">
        <f>+G6</f>
        <v>1.05</v>
      </c>
      <c r="H61" s="1117">
        <v>1</v>
      </c>
      <c r="I61" s="1117">
        <v>1</v>
      </c>
      <c r="J61" s="1096"/>
      <c r="K61" s="1114">
        <v>1.1505172776969557</v>
      </c>
      <c r="L61" s="1115">
        <v>0</v>
      </c>
      <c r="M61" s="1115">
        <v>8.00769901059783E-4</v>
      </c>
      <c r="N61" s="1115">
        <v>7.368822645034942E-2</v>
      </c>
      <c r="O61" s="1115">
        <v>1.0349261193574029E-2</v>
      </c>
      <c r="P61" s="1115">
        <v>1.356154733071668E-2</v>
      </c>
      <c r="Q61" s="1115">
        <v>4.493979107675744E-4</v>
      </c>
      <c r="R61" s="1115">
        <v>7.9899639237872733E-4</v>
      </c>
      <c r="S61" s="1115">
        <v>7.2865532650274817E-2</v>
      </c>
      <c r="T61" s="1115">
        <v>0.82763314128326659</v>
      </c>
      <c r="U61" s="1115">
        <v>0</v>
      </c>
      <c r="V61" s="1115">
        <v>9.4233331674683479E-2</v>
      </c>
      <c r="W61" s="1115">
        <v>4.8408155517525683E-2</v>
      </c>
      <c r="X61" s="1115">
        <v>7.1558524035126034E-3</v>
      </c>
      <c r="Y61" s="1115">
        <v>2.1746047909649352E-3</v>
      </c>
      <c r="Z61" s="1230"/>
      <c r="AA61" s="1096"/>
      <c r="AB61" s="1096"/>
      <c r="AC61" s="1096"/>
      <c r="AD61" s="1096"/>
      <c r="AE61" s="1096"/>
      <c r="AF61" s="1096"/>
      <c r="AG61" s="1096"/>
      <c r="AH61" s="1096"/>
      <c r="AI61" s="1096"/>
      <c r="AJ61" s="1096"/>
      <c r="AK61" s="1096"/>
      <c r="AL61" s="1096"/>
      <c r="AM61" s="1096"/>
      <c r="AN61" s="1096"/>
      <c r="AO61" s="1096"/>
      <c r="AP61" s="1096"/>
      <c r="AQ61" s="1096"/>
      <c r="AR61" s="1096"/>
      <c r="AS61" s="1096"/>
      <c r="AT61" s="1096"/>
      <c r="AU61" s="1096"/>
      <c r="AV61" s="1096"/>
      <c r="AW61" s="1096"/>
      <c r="AX61" s="1096"/>
      <c r="AY61" s="1096"/>
      <c r="AZ61" s="1096"/>
      <c r="BA61" s="1096"/>
      <c r="BB61" s="1096"/>
      <c r="BC61" s="1096"/>
      <c r="BD61" s="1096"/>
      <c r="BE61" s="1096"/>
      <c r="BF61" s="1096"/>
      <c r="BG61" s="1096"/>
      <c r="BH61" s="1096"/>
      <c r="BI61" s="1096"/>
      <c r="BJ61" s="1096"/>
      <c r="BK61" s="1096"/>
      <c r="BL61" s="1096"/>
      <c r="BM61" s="1096"/>
      <c r="BN61" s="1096"/>
      <c r="BO61" s="1096"/>
      <c r="BP61" s="1096"/>
      <c r="BQ61" s="1096"/>
      <c r="BR61" s="1096"/>
      <c r="BS61" s="1096"/>
      <c r="BT61" s="1096"/>
      <c r="BU61" s="1096"/>
    </row>
    <row r="62" spans="1:73" x14ac:dyDescent="0.25">
      <c r="A62" s="1096"/>
      <c r="B62" s="1108">
        <f t="shared" si="6"/>
        <v>12</v>
      </c>
      <c r="C62" s="1101">
        <v>1</v>
      </c>
      <c r="D62" s="1101">
        <v>1</v>
      </c>
      <c r="E62" s="1101">
        <v>1</v>
      </c>
      <c r="F62" s="1101">
        <v>1</v>
      </c>
      <c r="G62" s="1101">
        <v>1</v>
      </c>
      <c r="H62" s="1101">
        <f>+F8</f>
        <v>0.95</v>
      </c>
      <c r="I62" s="1101">
        <v>1</v>
      </c>
      <c r="J62" s="1096"/>
      <c r="K62" s="1114">
        <v>1.1400161850943142</v>
      </c>
      <c r="L62" s="1115">
        <v>0</v>
      </c>
      <c r="M62" s="1115">
        <v>7.6073140600679378E-4</v>
      </c>
      <c r="N62" s="1115">
        <v>6.9995636948897252E-2</v>
      </c>
      <c r="O62" s="1115">
        <v>1.0349261193574029E-2</v>
      </c>
      <c r="P62" s="1115">
        <v>1.3504624599101083E-2</v>
      </c>
      <c r="Q62" s="1115">
        <v>4.493979107675744E-4</v>
      </c>
      <c r="R62" s="1115">
        <v>7.5895789732573779E-4</v>
      </c>
      <c r="S62" s="1115">
        <v>7.0831355334048787E-2</v>
      </c>
      <c r="T62" s="1115">
        <v>0.82763314128326659</v>
      </c>
      <c r="U62" s="1115">
        <v>0</v>
      </c>
      <c r="V62" s="1115">
        <v>9.2095669300620797E-2</v>
      </c>
      <c r="W62" s="1115">
        <v>4.5982375234034645E-2</v>
      </c>
      <c r="X62" s="1115">
        <v>7.1108635925669168E-3</v>
      </c>
      <c r="Y62" s="1115">
        <v>2.0656332061170452E-3</v>
      </c>
      <c r="Z62" s="1230"/>
      <c r="AA62" s="1096"/>
      <c r="AB62" s="1096"/>
      <c r="AC62" s="1096"/>
      <c r="AD62" s="1096"/>
      <c r="AE62" s="1096"/>
      <c r="AF62" s="1096"/>
      <c r="AG62" s="1096"/>
      <c r="AH62" s="1096"/>
      <c r="AI62" s="1096"/>
      <c r="AJ62" s="1096"/>
      <c r="AK62" s="1096"/>
      <c r="AL62" s="1096"/>
      <c r="AM62" s="1096"/>
      <c r="AN62" s="1096"/>
      <c r="AO62" s="1096"/>
      <c r="AP62" s="1096"/>
      <c r="AQ62" s="1096"/>
      <c r="AR62" s="1096"/>
      <c r="AS62" s="1096"/>
      <c r="AT62" s="1096"/>
      <c r="AU62" s="1096"/>
      <c r="AV62" s="1096"/>
      <c r="AW62" s="1096"/>
      <c r="AX62" s="1096"/>
      <c r="AY62" s="1096"/>
      <c r="AZ62" s="1096"/>
      <c r="BA62" s="1096"/>
      <c r="BB62" s="1096"/>
      <c r="BC62" s="1096"/>
      <c r="BD62" s="1096"/>
      <c r="BE62" s="1096"/>
      <c r="BF62" s="1096"/>
      <c r="BG62" s="1096"/>
      <c r="BH62" s="1096"/>
      <c r="BI62" s="1096"/>
      <c r="BJ62" s="1096"/>
      <c r="BK62" s="1096"/>
      <c r="BL62" s="1096"/>
      <c r="BM62" s="1096"/>
      <c r="BN62" s="1096"/>
      <c r="BO62" s="1096"/>
      <c r="BP62" s="1096"/>
      <c r="BQ62" s="1096"/>
      <c r="BR62" s="1096"/>
      <c r="BS62" s="1096"/>
      <c r="BT62" s="1096"/>
      <c r="BU62" s="1096"/>
    </row>
    <row r="63" spans="1:73" x14ac:dyDescent="0.25">
      <c r="A63" s="1096"/>
      <c r="B63" s="1108">
        <f t="shared" si="6"/>
        <v>13</v>
      </c>
      <c r="C63" s="1101">
        <v>1</v>
      </c>
      <c r="D63" s="1101">
        <v>1</v>
      </c>
      <c r="E63" s="1101">
        <v>1</v>
      </c>
      <c r="F63" s="1101">
        <v>1</v>
      </c>
      <c r="G63" s="1101">
        <v>1</v>
      </c>
      <c r="H63" s="1101">
        <f>+G8</f>
        <v>1.05</v>
      </c>
      <c r="I63" s="1101">
        <v>1</v>
      </c>
      <c r="J63" s="1096"/>
      <c r="K63" s="1114">
        <v>1.1566645036849095</v>
      </c>
      <c r="L63" s="1115">
        <v>0</v>
      </c>
      <c r="M63" s="1115">
        <v>8.40808396112772E-4</v>
      </c>
      <c r="N63" s="1115">
        <v>7.7380815951801615E-2</v>
      </c>
      <c r="O63" s="1115">
        <v>1.0349261193574029E-2</v>
      </c>
      <c r="P63" s="1115">
        <v>1.3560144872223566E-2</v>
      </c>
      <c r="Q63" s="1115">
        <v>4.493979107675744E-4</v>
      </c>
      <c r="R63" s="1115">
        <v>8.3903488743171633E-4</v>
      </c>
      <c r="S63" s="1115">
        <v>7.4899709966500805E-2</v>
      </c>
      <c r="T63" s="1115">
        <v>0.82763314128326659</v>
      </c>
      <c r="U63" s="1115">
        <v>0</v>
      </c>
      <c r="V63" s="1115">
        <v>9.2095669300620797E-2</v>
      </c>
      <c r="W63" s="1115">
        <v>5.0833935801016715E-2</v>
      </c>
      <c r="X63" s="1115">
        <v>7.1806245380051908E-3</v>
      </c>
      <c r="Y63" s="1115">
        <v>2.2835763758128247E-3</v>
      </c>
      <c r="Z63" s="1230"/>
      <c r="AA63" s="1096"/>
      <c r="AB63" s="1096"/>
      <c r="AC63" s="1096"/>
      <c r="AD63" s="1096"/>
      <c r="AE63" s="1096"/>
      <c r="AF63" s="1096"/>
      <c r="AG63" s="1096"/>
      <c r="AH63" s="1096"/>
      <c r="AI63" s="1096"/>
      <c r="AJ63" s="1096"/>
      <c r="AK63" s="1096"/>
      <c r="AL63" s="1096"/>
      <c r="AM63" s="1096"/>
      <c r="AN63" s="1096"/>
      <c r="AO63" s="1096"/>
      <c r="AP63" s="1096"/>
      <c r="AQ63" s="1096"/>
      <c r="AR63" s="1096"/>
      <c r="AS63" s="1096"/>
      <c r="AT63" s="1096"/>
      <c r="AU63" s="1096"/>
      <c r="AV63" s="1096"/>
      <c r="AW63" s="1096"/>
      <c r="AX63" s="1096"/>
      <c r="AY63" s="1096"/>
      <c r="AZ63" s="1096"/>
      <c r="BA63" s="1096"/>
      <c r="BB63" s="1096"/>
      <c r="BC63" s="1096"/>
      <c r="BD63" s="1096"/>
      <c r="BE63" s="1096"/>
      <c r="BF63" s="1096"/>
      <c r="BG63" s="1096"/>
      <c r="BH63" s="1096"/>
      <c r="BI63" s="1096"/>
      <c r="BJ63" s="1096"/>
      <c r="BK63" s="1096"/>
      <c r="BL63" s="1096"/>
      <c r="BM63" s="1096"/>
      <c r="BN63" s="1096"/>
      <c r="BO63" s="1096"/>
      <c r="BP63" s="1096"/>
      <c r="BQ63" s="1096"/>
      <c r="BR63" s="1096"/>
      <c r="BS63" s="1096"/>
      <c r="BT63" s="1096"/>
      <c r="BU63" s="1096"/>
    </row>
    <row r="64" spans="1:73" x14ac:dyDescent="0.25">
      <c r="A64" s="1096"/>
      <c r="B64" s="1116">
        <f t="shared" si="6"/>
        <v>14</v>
      </c>
      <c r="C64" s="1101">
        <v>1</v>
      </c>
      <c r="D64" s="1101">
        <v>1</v>
      </c>
      <c r="E64" s="1101">
        <v>1</v>
      </c>
      <c r="F64" s="1101">
        <v>1</v>
      </c>
      <c r="G64" s="1101">
        <v>1</v>
      </c>
      <c r="H64" s="1101">
        <v>1</v>
      </c>
      <c r="I64" s="1101">
        <f>+F9</f>
        <v>0.95</v>
      </c>
      <c r="J64" s="1096"/>
      <c r="K64" s="1114">
        <v>1.1446301147643239</v>
      </c>
      <c r="L64" s="1115">
        <v>0</v>
      </c>
      <c r="M64" s="1115">
        <v>8.00769901059783E-4</v>
      </c>
      <c r="N64" s="1115">
        <v>7.368822645034942E-2</v>
      </c>
      <c r="O64" s="1115">
        <v>1.0349261193574029E-2</v>
      </c>
      <c r="P64" s="1115">
        <v>1.3482665443227888E-2</v>
      </c>
      <c r="Q64" s="1115">
        <v>4.493979107675744E-4</v>
      </c>
      <c r="R64" s="1115">
        <v>7.9899639237872733E-4</v>
      </c>
      <c r="S64" s="1115">
        <v>6.9222256017761094E-2</v>
      </c>
      <c r="T64" s="1115">
        <v>0.82763314128326659</v>
      </c>
      <c r="U64" s="1115">
        <v>0</v>
      </c>
      <c r="V64" s="1115">
        <v>9.2095669300620797E-2</v>
      </c>
      <c r="W64" s="1115">
        <v>4.8408155517525683E-2</v>
      </c>
      <c r="X64" s="1115">
        <v>7.128510364945881E-3</v>
      </c>
      <c r="Y64" s="1115">
        <v>2.1746047909649352E-3</v>
      </c>
      <c r="Z64" s="1230"/>
      <c r="AA64" s="1096"/>
      <c r="AB64" s="1096"/>
      <c r="AC64" s="1096"/>
      <c r="AD64" s="1096"/>
      <c r="AE64" s="1096"/>
      <c r="AF64" s="1096"/>
      <c r="AG64" s="1096"/>
      <c r="AH64" s="1096"/>
      <c r="AI64" s="1096"/>
      <c r="AJ64" s="1096"/>
      <c r="AK64" s="1096"/>
      <c r="AL64" s="1096"/>
      <c r="AM64" s="1096"/>
      <c r="AN64" s="1096"/>
      <c r="AO64" s="1096"/>
      <c r="AP64" s="1096"/>
      <c r="AQ64" s="1096"/>
      <c r="AR64" s="1096"/>
      <c r="AS64" s="1096"/>
      <c r="AT64" s="1096"/>
      <c r="AU64" s="1096"/>
      <c r="AV64" s="1096"/>
      <c r="AW64" s="1096"/>
      <c r="AX64" s="1096"/>
      <c r="AY64" s="1096"/>
      <c r="AZ64" s="1096"/>
      <c r="BA64" s="1096"/>
      <c r="BB64" s="1096"/>
      <c r="BC64" s="1096"/>
      <c r="BD64" s="1096"/>
      <c r="BE64" s="1096"/>
      <c r="BF64" s="1096"/>
      <c r="BG64" s="1096"/>
      <c r="BH64" s="1096"/>
      <c r="BI64" s="1096"/>
      <c r="BJ64" s="1096"/>
      <c r="BK64" s="1096"/>
      <c r="BL64" s="1096"/>
      <c r="BM64" s="1096"/>
      <c r="BN64" s="1096"/>
      <c r="BO64" s="1096"/>
      <c r="BP64" s="1096"/>
      <c r="BQ64" s="1096"/>
      <c r="BR64" s="1096"/>
      <c r="BS64" s="1096"/>
      <c r="BT64" s="1096"/>
      <c r="BU64" s="1096"/>
    </row>
    <row r="65" spans="1:73" ht="13" thickBot="1" x14ac:dyDescent="0.3">
      <c r="A65" s="1096"/>
      <c r="B65" s="1219">
        <f t="shared" si="6"/>
        <v>15</v>
      </c>
      <c r="C65" s="1220">
        <v>1</v>
      </c>
      <c r="D65" s="1220">
        <v>1</v>
      </c>
      <c r="E65" s="1220">
        <v>1</v>
      </c>
      <c r="F65" s="1220">
        <v>1</v>
      </c>
      <c r="G65" s="1220">
        <v>1</v>
      </c>
      <c r="H65" s="1220">
        <v>1</v>
      </c>
      <c r="I65" s="1220">
        <f>+G9</f>
        <v>1.05</v>
      </c>
      <c r="J65" s="1221"/>
      <c r="K65" s="1222">
        <v>1.152050574014901</v>
      </c>
      <c r="L65" s="1223">
        <v>0</v>
      </c>
      <c r="M65" s="1223">
        <v>8.00769901059783E-4</v>
      </c>
      <c r="N65" s="1223">
        <v>7.368822645034942E-2</v>
      </c>
      <c r="O65" s="1223">
        <v>1.0349261193574029E-2</v>
      </c>
      <c r="P65" s="1223">
        <v>1.3582104028096776E-2</v>
      </c>
      <c r="Q65" s="1223">
        <v>4.493979107675744E-4</v>
      </c>
      <c r="R65" s="1223">
        <v>7.9899639237872733E-4</v>
      </c>
      <c r="S65" s="1223">
        <v>7.6508809282788567E-2</v>
      </c>
      <c r="T65" s="1223">
        <v>0.82763314128326659</v>
      </c>
      <c r="U65" s="1223">
        <v>0</v>
      </c>
      <c r="V65" s="1223">
        <v>9.2095669300620797E-2</v>
      </c>
      <c r="W65" s="1223">
        <v>4.8408155517525683E-2</v>
      </c>
      <c r="X65" s="1223">
        <v>7.1629777656262907E-3</v>
      </c>
      <c r="Y65" s="1223">
        <v>2.1746047909649352E-3</v>
      </c>
      <c r="Z65" s="1230"/>
      <c r="AA65" s="1096"/>
      <c r="AB65" s="1096"/>
      <c r="AC65" s="1096"/>
      <c r="AD65" s="1096"/>
      <c r="AE65" s="1096"/>
      <c r="AF65" s="1096"/>
      <c r="AG65" s="1096"/>
      <c r="AH65" s="1096"/>
      <c r="AI65" s="1096"/>
      <c r="AJ65" s="1096"/>
      <c r="AK65" s="1096"/>
      <c r="AL65" s="1096"/>
      <c r="AM65" s="1096"/>
      <c r="AN65" s="1096"/>
      <c r="AO65" s="1096"/>
      <c r="AP65" s="1096"/>
      <c r="AQ65" s="1096"/>
      <c r="AR65" s="1096"/>
      <c r="AS65" s="1096"/>
      <c r="AT65" s="1096"/>
      <c r="AU65" s="1096"/>
      <c r="AV65" s="1096"/>
      <c r="AW65" s="1096"/>
      <c r="AX65" s="1096"/>
      <c r="AY65" s="1096"/>
      <c r="AZ65" s="1096"/>
      <c r="BA65" s="1096"/>
      <c r="BB65" s="1096"/>
      <c r="BC65" s="1096"/>
      <c r="BD65" s="1096"/>
      <c r="BE65" s="1096"/>
      <c r="BF65" s="1096"/>
      <c r="BG65" s="1096"/>
      <c r="BH65" s="1096"/>
      <c r="BI65" s="1096"/>
      <c r="BJ65" s="1096"/>
      <c r="BK65" s="1096"/>
      <c r="BL65" s="1096"/>
      <c r="BM65" s="1096"/>
      <c r="BN65" s="1096"/>
      <c r="BO65" s="1096"/>
      <c r="BP65" s="1096"/>
      <c r="BQ65" s="1096"/>
      <c r="BR65" s="1096"/>
      <c r="BS65" s="1096"/>
      <c r="BT65" s="1096"/>
      <c r="BU65" s="1096"/>
    </row>
    <row r="66" spans="1:73" ht="13" thickTop="1" x14ac:dyDescent="0.25">
      <c r="A66" s="1096"/>
      <c r="B66" s="1215">
        <f t="shared" si="6"/>
        <v>16</v>
      </c>
      <c r="C66" s="1216">
        <f>(C$72=1)*$F$3
+(C$72=2)
+(C$72=3)
+(C$72=4)
+(C$72=5)</f>
        <v>1</v>
      </c>
      <c r="D66" s="1216">
        <v>1</v>
      </c>
      <c r="E66" s="1216">
        <v>1</v>
      </c>
      <c r="F66" s="1216">
        <f>(F$72=1)*$F$6
+(F$72=2)
+(F$72=3)
+(F$72=4)
+(F$72=5)</f>
        <v>0.95</v>
      </c>
      <c r="G66" s="1216">
        <f>(G$72=1)*$F$7
+(G$72=2)
+(G$72=3)
+(G$72=4)
+(G$72=5)</f>
        <v>1</v>
      </c>
      <c r="H66" s="1216">
        <f>(H$72=1)*$F$8
+(H$72=2)
+(H$72=3)
+(H$72=4)
+(H$72=5)</f>
        <v>1</v>
      </c>
      <c r="I66" s="1216">
        <f>(I$72=1)*$F$9
+(I$72=2)
+(I$72=3)
+(I$72=4)
+(I$72=5)</f>
        <v>1</v>
      </c>
      <c r="J66" s="1096"/>
      <c r="K66" s="1217">
        <v>1.1061991008873879</v>
      </c>
      <c r="L66" s="1218">
        <v>0</v>
      </c>
      <c r="M66" s="1218">
        <v>8.00769901059783E-4</v>
      </c>
      <c r="N66" s="1218">
        <v>7.368822645034942E-2</v>
      </c>
      <c r="O66" s="1218">
        <v>1.0349261193574029E-2</v>
      </c>
      <c r="P66" s="1218">
        <v>1.2968315846758406E-2</v>
      </c>
      <c r="Q66" s="1218">
        <v>4.493979107675744E-4</v>
      </c>
      <c r="R66" s="1218">
        <v>7.9899639237872733E-4</v>
      </c>
      <c r="S66" s="1218">
        <v>7.2865532650274817E-2</v>
      </c>
      <c r="T66" s="1218">
        <v>0.78625148421910351</v>
      </c>
      <c r="U66" s="1218">
        <v>0</v>
      </c>
      <c r="V66" s="1218">
        <v>9.2095669300620797E-2</v>
      </c>
      <c r="W66" s="1218">
        <v>4.8408155517525683E-2</v>
      </c>
      <c r="X66" s="1218">
        <v>6.9502265161292282E-3</v>
      </c>
      <c r="Y66" s="1218">
        <v>2.1746047909649352E-3</v>
      </c>
      <c r="Z66" s="1230"/>
      <c r="AA66" s="1096"/>
      <c r="AB66" s="1096"/>
      <c r="AC66" s="1096"/>
      <c r="AD66" s="1096"/>
      <c r="AE66" s="1096"/>
      <c r="AF66" s="1096"/>
      <c r="AG66" s="1096"/>
      <c r="AH66" s="1096"/>
      <c r="AI66" s="1096"/>
      <c r="AJ66" s="1096"/>
      <c r="AK66" s="1096"/>
      <c r="AL66" s="1096"/>
      <c r="AM66" s="1096"/>
      <c r="AN66" s="1096"/>
      <c r="AO66" s="1096"/>
      <c r="AP66" s="1096"/>
      <c r="AQ66" s="1096"/>
      <c r="AR66" s="1096"/>
      <c r="AS66" s="1096"/>
      <c r="AT66" s="1096"/>
      <c r="AU66" s="1096"/>
      <c r="AV66" s="1096"/>
      <c r="AW66" s="1096"/>
      <c r="AX66" s="1096"/>
      <c r="AY66" s="1096"/>
      <c r="AZ66" s="1096"/>
      <c r="BA66" s="1096"/>
      <c r="BB66" s="1096"/>
      <c r="BC66" s="1096"/>
      <c r="BD66" s="1096"/>
      <c r="BE66" s="1096"/>
      <c r="BF66" s="1096"/>
      <c r="BG66" s="1096"/>
      <c r="BH66" s="1096"/>
      <c r="BI66" s="1096"/>
      <c r="BJ66" s="1096"/>
      <c r="BK66" s="1096"/>
      <c r="BL66" s="1096"/>
      <c r="BM66" s="1096"/>
      <c r="BN66" s="1096"/>
      <c r="BO66" s="1096"/>
      <c r="BP66" s="1096"/>
      <c r="BQ66" s="1096"/>
      <c r="BR66" s="1096"/>
      <c r="BS66" s="1096"/>
      <c r="BT66" s="1096"/>
      <c r="BU66" s="1096"/>
    </row>
    <row r="67" spans="1:73" x14ac:dyDescent="0.25">
      <c r="A67" s="1096"/>
      <c r="B67" s="1108">
        <f t="shared" si="6"/>
        <v>17</v>
      </c>
      <c r="C67" s="1216">
        <f>(C$72=1)*$F$3
+(C$72=2)*$F$3
+(C$72=3)
+(C$72=4)
+(C$72=5)</f>
        <v>1.05</v>
      </c>
      <c r="D67" s="1101">
        <v>1</v>
      </c>
      <c r="E67" s="1101">
        <v>1</v>
      </c>
      <c r="F67" s="1216">
        <f>(F$72=1)*$F$6
+(F$72=2)*$F$6
+(F$72=3)
+(F$72=4)
+(F$72=5)</f>
        <v>0.95</v>
      </c>
      <c r="G67" s="1216">
        <f>(G$72=1)*$F$7
+(G$72=2)*$F$7
+(G$72=3)
+(G$72=4)
+(G$72=5)</f>
        <v>1</v>
      </c>
      <c r="H67" s="1216">
        <f>(H$72=1)*$F$8
+(H$72=2)*$F$8
+(H$72=3)
+(H$72=4)
+(H$72=5)</f>
        <v>1</v>
      </c>
      <c r="I67" s="1216">
        <f>(I$72=1)*$F$9
+(I$72=2)*$F$9
+(I$72=3)
+(I$72=4)
+(I$72=5)</f>
        <v>1</v>
      </c>
      <c r="J67" s="1096"/>
      <c r="K67" s="1114">
        <v>1.094915008313404</v>
      </c>
      <c r="L67" s="1115">
        <v>0</v>
      </c>
      <c r="M67" s="1115">
        <v>7.6263800100931725E-4</v>
      </c>
      <c r="N67" s="1115">
        <v>7.0179263286047067E-2</v>
      </c>
      <c r="O67" s="1115">
        <v>9.8564392319752652E-3</v>
      </c>
      <c r="P67" s="1115">
        <v>1.2904858963784592E-2</v>
      </c>
      <c r="Q67" s="1115">
        <v>4.279980102548327E-4</v>
      </c>
      <c r="R67" s="1115">
        <v>7.6094894512259738E-4</v>
      </c>
      <c r="S67" s="1115">
        <v>6.9395745381214097E-2</v>
      </c>
      <c r="T67" s="1115">
        <v>0.7862514842191034</v>
      </c>
      <c r="U67" s="1115">
        <v>0</v>
      </c>
      <c r="V67" s="1115">
        <v>9.0915531609155012E-2</v>
      </c>
      <c r="W67" s="1115">
        <v>4.6103005254786361E-2</v>
      </c>
      <c r="X67" s="1115">
        <v>6.8113192310978905E-3</v>
      </c>
      <c r="Y67" s="1115">
        <v>2.0710521818713668E-3</v>
      </c>
      <c r="Z67" s="1230"/>
      <c r="AA67" s="1096"/>
      <c r="AB67" s="1096"/>
      <c r="AC67" s="1096"/>
      <c r="AD67" s="1096"/>
      <c r="AE67" s="1096"/>
      <c r="AF67" s="1096"/>
      <c r="AG67" s="1096"/>
      <c r="AH67" s="1096"/>
      <c r="AI67" s="1096"/>
      <c r="AJ67" s="1096"/>
      <c r="AK67" s="1096"/>
      <c r="AL67" s="1096"/>
      <c r="AM67" s="1096"/>
      <c r="AN67" s="1096"/>
      <c r="AO67" s="1096"/>
      <c r="AP67" s="1096"/>
      <c r="AQ67" s="1096"/>
      <c r="AR67" s="1096"/>
      <c r="AS67" s="1096"/>
      <c r="AT67" s="1096"/>
      <c r="AU67" s="1096"/>
      <c r="AV67" s="1096"/>
      <c r="AW67" s="1096"/>
      <c r="AX67" s="1096"/>
      <c r="AY67" s="1096"/>
      <c r="AZ67" s="1096"/>
      <c r="BA67" s="1096"/>
      <c r="BB67" s="1096"/>
      <c r="BC67" s="1096"/>
      <c r="BD67" s="1096"/>
      <c r="BE67" s="1096"/>
      <c r="BF67" s="1096"/>
      <c r="BG67" s="1096"/>
      <c r="BH67" s="1096"/>
      <c r="BI67" s="1096"/>
      <c r="BJ67" s="1096"/>
      <c r="BK67" s="1096"/>
      <c r="BL67" s="1096"/>
      <c r="BM67" s="1096"/>
      <c r="BN67" s="1096"/>
      <c r="BO67" s="1096"/>
      <c r="BP67" s="1096"/>
      <c r="BQ67" s="1096"/>
      <c r="BR67" s="1096"/>
      <c r="BS67" s="1096"/>
      <c r="BT67" s="1096"/>
      <c r="BU67" s="1096"/>
    </row>
    <row r="68" spans="1:73" x14ac:dyDescent="0.25">
      <c r="A68" s="1096"/>
      <c r="B68" s="1116">
        <f t="shared" si="6"/>
        <v>18</v>
      </c>
      <c r="C68" s="1216">
        <f>(C$72=1)*$F$3
+(C$72=2)*$F$3
+(C$72=3)*$F$3
+(C$72=4)
+(C$72=5)</f>
        <v>1.05</v>
      </c>
      <c r="D68" s="1101">
        <v>1</v>
      </c>
      <c r="E68" s="1101">
        <v>1</v>
      </c>
      <c r="F68" s="1216">
        <f>(F$72=1)*$F$6
+(F$72=2)*$F$6
+(F$72=3)*$F$6
+(F$72=4)
+(F$72=5)</f>
        <v>0.95</v>
      </c>
      <c r="G68" s="1216">
        <f>(G$72=1)*$F$7
+(G$72=2)*$F$7
+(G$72=3)*$F$7
+(G$72=4)
+(G$72=5)</f>
        <v>1</v>
      </c>
      <c r="H68" s="1216">
        <f>(H$72=1)*$F$8
+(H$72=2)*$F$8
+(H$72=3)*$F$8
+(H$72=4)
+(H$72=5)</f>
        <v>0.95</v>
      </c>
      <c r="I68" s="1216">
        <f>(I$72=1)*$F$9
+(I$72=2)*$F$9
+(I$72=3)*$F$9
+(I$72=4)
+(I$72=5)</f>
        <v>1</v>
      </c>
      <c r="J68" s="1096"/>
      <c r="K68" s="1114">
        <v>1.0869872375559777</v>
      </c>
      <c r="L68" s="1115">
        <v>0</v>
      </c>
      <c r="M68" s="1115">
        <v>7.2450610095885107E-4</v>
      </c>
      <c r="N68" s="1115">
        <v>6.6662511379902131E-2</v>
      </c>
      <c r="O68" s="1115">
        <v>9.8564392319752652E-3</v>
      </c>
      <c r="P68" s="1115">
        <v>1.2878420738488177E-2</v>
      </c>
      <c r="Q68" s="1115">
        <v>4.279980102548327E-4</v>
      </c>
      <c r="R68" s="1115">
        <v>7.228170450721313E-4</v>
      </c>
      <c r="S68" s="1115">
        <v>6.7458433651475025E-2</v>
      </c>
      <c r="T68" s="1115">
        <v>0.7862514842191034</v>
      </c>
      <c r="U68" s="1115">
        <v>0</v>
      </c>
      <c r="V68" s="1115">
        <v>9.0915531609155012E-2</v>
      </c>
      <c r="W68" s="1115">
        <v>4.379273831812823E-2</v>
      </c>
      <c r="X68" s="1115">
        <v>6.7780997332700698E-3</v>
      </c>
      <c r="Y68" s="1115">
        <v>1.9672697201114715E-3</v>
      </c>
      <c r="Z68" s="1230"/>
      <c r="AA68" s="1096"/>
      <c r="AB68" s="1096"/>
      <c r="AC68" s="1096"/>
      <c r="AD68" s="1096"/>
      <c r="AE68" s="1096"/>
      <c r="AF68" s="1096"/>
      <c r="AG68" s="1096"/>
      <c r="AH68" s="1096"/>
      <c r="AI68" s="1096"/>
      <c r="AJ68" s="1096"/>
      <c r="AK68" s="1096"/>
      <c r="AL68" s="1096"/>
      <c r="AM68" s="1096"/>
      <c r="AN68" s="1096"/>
      <c r="AO68" s="1096"/>
      <c r="AP68" s="1096"/>
      <c r="AQ68" s="1096"/>
      <c r="AR68" s="1096"/>
      <c r="AS68" s="1096"/>
      <c r="AT68" s="1096"/>
      <c r="AU68" s="1096"/>
      <c r="AV68" s="1096"/>
      <c r="AW68" s="1096"/>
      <c r="AX68" s="1096"/>
      <c r="AY68" s="1096"/>
      <c r="AZ68" s="1096"/>
      <c r="BA68" s="1096"/>
      <c r="BB68" s="1096"/>
      <c r="BC68" s="1096"/>
      <c r="BD68" s="1096"/>
      <c r="BE68" s="1096"/>
      <c r="BF68" s="1096"/>
      <c r="BG68" s="1096"/>
      <c r="BH68" s="1096"/>
      <c r="BI68" s="1096"/>
      <c r="BJ68" s="1096"/>
      <c r="BK68" s="1096"/>
      <c r="BL68" s="1096"/>
      <c r="BM68" s="1096"/>
      <c r="BN68" s="1096"/>
      <c r="BO68" s="1096"/>
      <c r="BP68" s="1096"/>
      <c r="BQ68" s="1096"/>
      <c r="BR68" s="1096"/>
      <c r="BS68" s="1096"/>
      <c r="BT68" s="1096"/>
      <c r="BU68" s="1096"/>
    </row>
    <row r="69" spans="1:73" x14ac:dyDescent="0.25">
      <c r="A69" s="1096"/>
      <c r="B69" s="1116">
        <f t="shared" si="6"/>
        <v>19</v>
      </c>
      <c r="C69" s="1216">
        <f>(C$72=1)*$F$3
+(C$72=2)*$F$3
+(C$72=3)*$F$3
+(C$72=4)*$F$3
+(C$72=5)</f>
        <v>1.05</v>
      </c>
      <c r="D69" s="1101">
        <v>1</v>
      </c>
      <c r="E69" s="1101">
        <v>1</v>
      </c>
      <c r="F69" s="1216">
        <f>(F$72=1)*$F$6
+(F$72=2)*$F$6
+(F$72=3)*$F$6
+(F$72=4)*$F$6
+(F$72=5)</f>
        <v>0.95</v>
      </c>
      <c r="G69" s="1216">
        <f>(G$72=1)*$F$7
+(G$72=2)*$F$7
+(G$72=3)*$F$7
+(G$72=4)*$F$7
+(G$72=5)</f>
        <v>1</v>
      </c>
      <c r="H69" s="1216">
        <f>(H$72=1)*$F$8
+(H$72=2)*$F$8
+(H$72=3)*$F$8
+(H$72=4)*$F$8
+(H$72=5)</f>
        <v>0.95</v>
      </c>
      <c r="I69" s="1216">
        <f>(I$72=1)*$F$9
+(I$72=2)*$F$9
+(I$72=3)*$F$9
+(I$72=4)*$F$9
+(I$72=5)</f>
        <v>0.95</v>
      </c>
      <c r="J69" s="1096"/>
      <c r="K69" s="1114">
        <v>1.0835523312305069</v>
      </c>
      <c r="L69" s="1115">
        <v>0</v>
      </c>
      <c r="M69" s="1115">
        <v>7.2450610095885107E-4</v>
      </c>
      <c r="N69" s="1115">
        <v>6.6662511379902131E-2</v>
      </c>
      <c r="O69" s="1115">
        <v>9.8564392319752652E-3</v>
      </c>
      <c r="P69" s="1115">
        <v>1.2832390942672578E-2</v>
      </c>
      <c r="Q69" s="1115">
        <v>4.279980102548327E-4</v>
      </c>
      <c r="R69" s="1115">
        <v>7.228170450721313E-4</v>
      </c>
      <c r="S69" s="1115">
        <v>6.408551196890129E-2</v>
      </c>
      <c r="T69" s="1115">
        <v>0.7862514842191034</v>
      </c>
      <c r="U69" s="1115">
        <v>0</v>
      </c>
      <c r="V69" s="1115">
        <v>9.0915531609155012E-2</v>
      </c>
      <c r="W69" s="1115">
        <v>4.379273831812823E-2</v>
      </c>
      <c r="X69" s="1115">
        <v>6.7621448861883123E-3</v>
      </c>
      <c r="Y69" s="1115">
        <v>1.9672697201114715E-3</v>
      </c>
      <c r="Z69" s="1230"/>
      <c r="AA69" s="1096"/>
      <c r="AB69" s="1096"/>
      <c r="AC69" s="1096"/>
      <c r="AD69" s="1096"/>
      <c r="AE69" s="1096"/>
      <c r="AF69" s="1096"/>
      <c r="AG69" s="1096"/>
      <c r="AH69" s="1096"/>
      <c r="AI69" s="1096"/>
      <c r="AJ69" s="1096"/>
      <c r="AK69" s="1096"/>
      <c r="AL69" s="1096"/>
      <c r="AM69" s="1096"/>
      <c r="AN69" s="1096"/>
      <c r="AO69" s="1096"/>
      <c r="AP69" s="1096"/>
      <c r="AQ69" s="1096"/>
      <c r="AR69" s="1096"/>
      <c r="AS69" s="1096"/>
      <c r="AT69" s="1096"/>
      <c r="AU69" s="1096"/>
      <c r="AV69" s="1096"/>
      <c r="AW69" s="1096"/>
      <c r="AX69" s="1096"/>
      <c r="AY69" s="1096"/>
      <c r="AZ69" s="1096"/>
      <c r="BA69" s="1096"/>
      <c r="BB69" s="1096"/>
      <c r="BC69" s="1096"/>
      <c r="BD69" s="1096"/>
      <c r="BE69" s="1096"/>
      <c r="BF69" s="1096"/>
      <c r="BG69" s="1096"/>
      <c r="BH69" s="1096"/>
      <c r="BI69" s="1096"/>
      <c r="BJ69" s="1096"/>
      <c r="BK69" s="1096"/>
      <c r="BL69" s="1096"/>
      <c r="BM69" s="1096"/>
      <c r="BN69" s="1096"/>
      <c r="BO69" s="1096"/>
      <c r="BP69" s="1096"/>
      <c r="BQ69" s="1096"/>
      <c r="BR69" s="1096"/>
      <c r="BS69" s="1096"/>
      <c r="BT69" s="1096"/>
      <c r="BU69" s="1096"/>
    </row>
    <row r="70" spans="1:73" x14ac:dyDescent="0.25">
      <c r="A70" s="1096"/>
      <c r="B70" s="1108">
        <f t="shared" si="6"/>
        <v>20</v>
      </c>
      <c r="C70" s="1216">
        <f>(C$72=1)*$F$3
+(C$72=2)*$F$3
+(C$72=3)*$F$3
+(C$72=4)*$F$3
+(C$72=5)*$F$3</f>
        <v>1.05</v>
      </c>
      <c r="D70" s="1101">
        <v>1</v>
      </c>
      <c r="E70" s="1101">
        <v>1</v>
      </c>
      <c r="F70" s="1216">
        <f>(F$72=1)*$F$6
+(F$72=2)*$F$6
+(F$72=3)*$F$6
+(F$72=4)*$F$6
+(F$72=5)*$F$6</f>
        <v>0.95</v>
      </c>
      <c r="G70" s="1216">
        <f>(G$72=1)*$F$7
+(G$72=2)*$F$7
+(G$72=3)*$F$7
+(G$72=4)*$F$7
+(G$72=5)*$F$7</f>
        <v>0.95</v>
      </c>
      <c r="H70" s="1216">
        <f>(H$72=1)*$F$8
+(H$72=2)*$F$8
+(H$72=3)*$F$8
+(H$72=4)*$F$8
+(H$72=5)*$F$8</f>
        <v>0.95</v>
      </c>
      <c r="I70" s="1216">
        <f>(I$72=1)*$F$9
+(I$72=2)*$F$9
+(I$72=3)*$F$9
+(I$72=4)*$F$9
+(I$72=5)*$F$9</f>
        <v>0.95</v>
      </c>
      <c r="J70" s="1096"/>
      <c r="K70" s="1114">
        <v>1.0813753979231633</v>
      </c>
      <c r="L70" s="1115">
        <v>0</v>
      </c>
      <c r="M70" s="1115">
        <v>7.2450610095885107E-4</v>
      </c>
      <c r="N70" s="1115">
        <v>6.6662511379902131E-2</v>
      </c>
      <c r="O70" s="1115">
        <v>9.8564392319752652E-3</v>
      </c>
      <c r="P70" s="1115">
        <v>1.2803228347618224E-2</v>
      </c>
      <c r="Q70" s="1115">
        <v>4.279980102548327E-4</v>
      </c>
      <c r="R70" s="1115">
        <v>7.228170450721313E-4</v>
      </c>
      <c r="S70" s="1115">
        <v>6.408551196890129E-2</v>
      </c>
      <c r="T70" s="1115">
        <v>0.7862514842191034</v>
      </c>
      <c r="U70" s="1115">
        <v>0</v>
      </c>
      <c r="V70" s="1115">
        <v>8.877786923509233E-2</v>
      </c>
      <c r="W70" s="1115">
        <v>4.379273831812823E-2</v>
      </c>
      <c r="X70" s="1115">
        <v>6.7520365479618906E-3</v>
      </c>
      <c r="Y70" s="1115">
        <v>1.9672697201114715E-3</v>
      </c>
      <c r="Z70" s="1230"/>
      <c r="AA70" s="1096"/>
      <c r="AB70" s="1096"/>
      <c r="AC70" s="1096"/>
      <c r="AD70" s="1096"/>
      <c r="AE70" s="1096"/>
      <c r="AF70" s="1096"/>
      <c r="AG70" s="1096"/>
      <c r="AH70" s="1096"/>
      <c r="AI70" s="1096"/>
      <c r="AJ70" s="1096"/>
      <c r="AK70" s="1096"/>
      <c r="AL70" s="1096"/>
      <c r="AM70" s="1096"/>
      <c r="AN70" s="1096"/>
      <c r="AO70" s="1096"/>
      <c r="AP70" s="1096"/>
      <c r="AQ70" s="1096"/>
      <c r="AR70" s="1096"/>
      <c r="AS70" s="1096"/>
      <c r="AT70" s="1096"/>
      <c r="AU70" s="1096"/>
      <c r="AV70" s="1096"/>
      <c r="AW70" s="1096"/>
      <c r="AX70" s="1096"/>
      <c r="AY70" s="1096"/>
      <c r="AZ70" s="1096"/>
      <c r="BA70" s="1096"/>
      <c r="BB70" s="1096"/>
      <c r="BC70" s="1096"/>
      <c r="BD70" s="1096"/>
      <c r="BE70" s="1096"/>
      <c r="BF70" s="1096"/>
      <c r="BG70" s="1096"/>
      <c r="BH70" s="1096"/>
      <c r="BI70" s="1096"/>
      <c r="BJ70" s="1096"/>
      <c r="BK70" s="1096"/>
      <c r="BL70" s="1096"/>
      <c r="BM70" s="1096"/>
      <c r="BN70" s="1096"/>
      <c r="BO70" s="1096"/>
      <c r="BP70" s="1096"/>
      <c r="BQ70" s="1096"/>
      <c r="BR70" s="1096"/>
      <c r="BS70" s="1096"/>
      <c r="BT70" s="1096"/>
      <c r="BU70" s="1096"/>
    </row>
    <row r="71" spans="1:73" x14ac:dyDescent="0.25">
      <c r="A71" s="1096"/>
      <c r="B71" s="1096"/>
      <c r="C71" s="1096"/>
      <c r="D71" s="1096"/>
      <c r="E71" s="1096"/>
      <c r="F71" s="1096"/>
      <c r="G71" s="1096"/>
      <c r="H71" s="1096"/>
      <c r="I71" s="1096"/>
      <c r="J71" s="1096"/>
      <c r="K71" s="1096"/>
      <c r="L71" s="1096"/>
      <c r="M71" s="1096"/>
      <c r="N71" s="1096"/>
      <c r="O71" s="1096"/>
      <c r="P71" s="1096"/>
      <c r="Q71" s="1096"/>
      <c r="R71" s="1096"/>
      <c r="S71" s="1096"/>
      <c r="T71" s="1096"/>
      <c r="U71" s="1096"/>
      <c r="V71" s="1096"/>
      <c r="W71" s="1096"/>
      <c r="X71" s="1096"/>
      <c r="Y71" s="1096"/>
      <c r="Z71" s="1096"/>
      <c r="AA71" s="1096"/>
      <c r="AB71" s="1096"/>
      <c r="AC71" s="1096"/>
      <c r="AD71" s="1096"/>
      <c r="AE71" s="1096"/>
      <c r="AF71" s="1096"/>
      <c r="AG71" s="1096"/>
      <c r="AH71" s="1096"/>
      <c r="AI71" s="1096"/>
      <c r="AJ71" s="1096"/>
      <c r="AK71" s="1096"/>
      <c r="AL71" s="1096"/>
      <c r="AM71" s="1096"/>
      <c r="AN71" s="1096"/>
      <c r="AO71" s="1096"/>
      <c r="AP71" s="1096"/>
      <c r="AQ71" s="1096"/>
      <c r="AR71" s="1096"/>
      <c r="AS71" s="1096"/>
      <c r="AT71" s="1096"/>
      <c r="AU71" s="1096"/>
      <c r="AV71" s="1096"/>
      <c r="AW71" s="1096"/>
      <c r="AX71" s="1096"/>
      <c r="AY71" s="1096"/>
      <c r="AZ71" s="1096"/>
      <c r="BA71" s="1096"/>
      <c r="BB71" s="1096"/>
      <c r="BC71" s="1096"/>
      <c r="BD71" s="1096"/>
      <c r="BE71" s="1096"/>
      <c r="BF71" s="1096"/>
      <c r="BG71" s="1096"/>
      <c r="BH71" s="1096"/>
      <c r="BI71" s="1096"/>
      <c r="BJ71" s="1096"/>
      <c r="BK71" s="1096"/>
      <c r="BL71" s="1096"/>
      <c r="BM71" s="1096"/>
      <c r="BN71" s="1096"/>
      <c r="BO71" s="1096"/>
      <c r="BP71" s="1096"/>
      <c r="BQ71" s="1096"/>
      <c r="BR71" s="1096"/>
      <c r="BS71" s="1096"/>
      <c r="BT71" s="1096"/>
      <c r="BU71" s="1096"/>
    </row>
    <row r="72" spans="1:73" x14ac:dyDescent="0.25">
      <c r="A72" s="1096"/>
      <c r="B72" s="1224" t="s">
        <v>1183</v>
      </c>
      <c r="C72" s="1100">
        <f>6-RANK($N$101,($N$101,$N$104:$N$107))</f>
        <v>2</v>
      </c>
      <c r="D72" s="1225"/>
      <c r="E72" s="1225"/>
      <c r="F72" s="1100">
        <f>6-RANK($N$104,($N$101,$N$104:$N$107))</f>
        <v>1</v>
      </c>
      <c r="G72" s="1100">
        <f>6-RANK($N$105,($N$101,$N$104:$N$107))</f>
        <v>5</v>
      </c>
      <c r="H72" s="1100">
        <f>6-RANK($N$106,($N$101,$N$104:$N$107))</f>
        <v>3</v>
      </c>
      <c r="I72" s="1100">
        <f>6-RANK($N$107,($N$101,$N$104:$N$107))</f>
        <v>4</v>
      </c>
      <c r="J72" s="1096"/>
      <c r="K72" s="1096"/>
      <c r="L72" s="1096"/>
      <c r="M72" s="1096"/>
      <c r="N72" s="1096"/>
      <c r="O72" s="1096"/>
      <c r="P72" s="1096"/>
      <c r="Q72" s="1096"/>
      <c r="R72" s="1096"/>
      <c r="S72" s="1096"/>
      <c r="T72" s="1096"/>
      <c r="U72" s="1096"/>
      <c r="V72" s="1096"/>
      <c r="W72" s="1096"/>
      <c r="X72" s="1096"/>
      <c r="Y72" s="1096"/>
      <c r="Z72" s="1096"/>
      <c r="AA72" s="1096"/>
      <c r="AB72" s="1096"/>
      <c r="AC72" s="1096"/>
      <c r="AD72" s="1096"/>
      <c r="AE72" s="1096"/>
      <c r="AF72" s="1096"/>
      <c r="AG72" s="1096"/>
      <c r="AH72" s="1096"/>
      <c r="AI72" s="1096"/>
      <c r="AJ72" s="1096"/>
      <c r="AK72" s="1096"/>
      <c r="AL72" s="1096"/>
      <c r="AM72" s="1096"/>
      <c r="AN72" s="1096"/>
      <c r="AO72" s="1096"/>
      <c r="AP72" s="1096"/>
      <c r="AQ72" s="1096"/>
      <c r="AR72" s="1096"/>
      <c r="AS72" s="1096"/>
      <c r="AT72" s="1096"/>
      <c r="AU72" s="1096"/>
      <c r="AV72" s="1096"/>
      <c r="AW72" s="1096"/>
      <c r="AX72" s="1096"/>
      <c r="AY72" s="1096"/>
      <c r="AZ72" s="1096"/>
      <c r="BA72" s="1096"/>
      <c r="BB72" s="1096"/>
      <c r="BC72" s="1096"/>
      <c r="BD72" s="1096"/>
      <c r="BE72" s="1096"/>
      <c r="BF72" s="1096"/>
      <c r="BG72" s="1096"/>
      <c r="BH72" s="1096"/>
      <c r="BI72" s="1096"/>
      <c r="BJ72" s="1096"/>
      <c r="BK72" s="1096"/>
      <c r="BL72" s="1096"/>
      <c r="BM72" s="1096"/>
      <c r="BN72" s="1096"/>
      <c r="BO72" s="1096"/>
      <c r="BP72" s="1096"/>
      <c r="BQ72" s="1096"/>
      <c r="BR72" s="1096"/>
      <c r="BS72" s="1096"/>
      <c r="BT72" s="1096"/>
      <c r="BU72" s="1096"/>
    </row>
    <row r="73" spans="1:73" x14ac:dyDescent="0.25">
      <c r="A73" s="1096"/>
      <c r="B73" s="1096"/>
      <c r="C73" s="1096"/>
      <c r="D73" s="1096"/>
      <c r="E73" s="1096"/>
      <c r="F73" s="1096"/>
      <c r="G73" s="1096"/>
      <c r="H73" s="1096"/>
      <c r="I73" s="1096"/>
      <c r="J73" s="1096"/>
      <c r="K73" s="1096"/>
      <c r="L73" s="1096"/>
      <c r="M73" s="1096"/>
      <c r="N73" s="1096"/>
      <c r="O73" s="1096"/>
      <c r="P73" s="1096"/>
      <c r="Q73" s="1096"/>
      <c r="R73" s="1096"/>
      <c r="S73" s="1096"/>
      <c r="T73" s="1096"/>
      <c r="U73" s="1096"/>
      <c r="V73" s="1096"/>
      <c r="W73" s="1096"/>
      <c r="X73" s="1096"/>
      <c r="Y73" s="1096"/>
      <c r="Z73" s="1096"/>
      <c r="AA73" s="1096"/>
      <c r="AB73" s="1096"/>
      <c r="AC73" s="1096"/>
      <c r="AD73" s="1096"/>
      <c r="AE73" s="1096"/>
      <c r="AF73" s="1096"/>
      <c r="AG73" s="1096"/>
      <c r="AH73" s="1096"/>
      <c r="AI73" s="1096"/>
      <c r="AJ73" s="1096"/>
      <c r="AK73" s="1096"/>
      <c r="AL73" s="1096"/>
      <c r="AM73" s="1096"/>
      <c r="AN73" s="1096"/>
      <c r="AO73" s="1096"/>
      <c r="AP73" s="1096"/>
      <c r="AQ73" s="1096"/>
      <c r="AR73" s="1096"/>
      <c r="AS73" s="1096"/>
      <c r="AT73" s="1096"/>
      <c r="AU73" s="1096"/>
      <c r="AV73" s="1096"/>
      <c r="AW73" s="1096"/>
      <c r="AX73" s="1096"/>
      <c r="AY73" s="1096"/>
      <c r="AZ73" s="1096"/>
      <c r="BA73" s="1096"/>
      <c r="BB73" s="1096"/>
      <c r="BC73" s="1096"/>
      <c r="BD73" s="1096"/>
      <c r="BE73" s="1096"/>
      <c r="BF73" s="1096"/>
      <c r="BG73" s="1096"/>
      <c r="BH73" s="1096"/>
      <c r="BI73" s="1096"/>
      <c r="BJ73" s="1096"/>
      <c r="BK73" s="1096"/>
      <c r="BL73" s="1096"/>
      <c r="BM73" s="1096"/>
      <c r="BN73" s="1096"/>
      <c r="BO73" s="1096"/>
      <c r="BP73" s="1096"/>
      <c r="BQ73" s="1096"/>
      <c r="BR73" s="1096"/>
      <c r="BS73" s="1096"/>
      <c r="BT73" s="1096"/>
      <c r="BU73" s="1096"/>
    </row>
    <row r="74" spans="1:73" ht="13" x14ac:dyDescent="0.3">
      <c r="A74" s="1096"/>
      <c r="B74" s="1098" t="s">
        <v>1147</v>
      </c>
      <c r="C74" s="1096"/>
      <c r="D74" s="1096"/>
      <c r="E74" s="1096"/>
      <c r="F74" s="1096"/>
      <c r="G74" s="1096"/>
      <c r="H74" s="1096"/>
      <c r="I74" s="1096"/>
      <c r="J74" s="1096"/>
      <c r="K74" s="1096"/>
      <c r="L74" s="1096"/>
      <c r="M74" s="1096"/>
      <c r="N74" s="1096"/>
      <c r="O74" s="1096"/>
      <c r="P74" s="1096"/>
      <c r="Q74" s="1096"/>
      <c r="R74" s="1096"/>
      <c r="S74" s="1096"/>
      <c r="T74" s="1096"/>
      <c r="U74" s="1096"/>
      <c r="V74" s="1096"/>
      <c r="W74" s="1096"/>
      <c r="X74" s="1096"/>
      <c r="Y74" s="1096"/>
      <c r="Z74" s="1096"/>
      <c r="AA74" s="1096"/>
      <c r="AB74" s="1096"/>
      <c r="AC74" s="1096"/>
      <c r="AD74" s="1096"/>
      <c r="AE74" s="1096"/>
      <c r="AF74" s="1096"/>
      <c r="AG74" s="1096"/>
      <c r="AH74" s="1096"/>
      <c r="AI74" s="1096"/>
      <c r="AJ74" s="1096"/>
      <c r="AK74" s="1096"/>
      <c r="AL74" s="1096"/>
      <c r="AM74" s="1096"/>
      <c r="AN74" s="1096"/>
      <c r="AO74" s="1096"/>
      <c r="AP74" s="1096"/>
      <c r="AQ74" s="1096"/>
      <c r="AR74" s="1096"/>
      <c r="AS74" s="1096"/>
      <c r="AT74" s="1096"/>
      <c r="AU74" s="1096"/>
      <c r="AV74" s="1096"/>
      <c r="AW74" s="1096"/>
      <c r="AX74" s="1096"/>
      <c r="AY74" s="1096"/>
      <c r="AZ74" s="1096"/>
      <c r="BA74" s="1096"/>
      <c r="BB74" s="1096"/>
      <c r="BC74" s="1096"/>
      <c r="BD74" s="1096"/>
      <c r="BE74" s="1096"/>
      <c r="BF74" s="1096"/>
      <c r="BG74" s="1096"/>
      <c r="BH74" s="1096"/>
      <c r="BI74" s="1096"/>
      <c r="BJ74" s="1096"/>
      <c r="BK74" s="1096"/>
      <c r="BL74" s="1096"/>
      <c r="BM74" s="1096"/>
      <c r="BN74" s="1096"/>
      <c r="BO74" s="1096"/>
      <c r="BP74" s="1096"/>
      <c r="BQ74" s="1096"/>
      <c r="BR74" s="1096"/>
      <c r="BS74" s="1096"/>
      <c r="BT74" s="1096"/>
      <c r="BU74" s="1096"/>
    </row>
    <row r="75" spans="1:73" x14ac:dyDescent="0.25">
      <c r="A75" s="1096"/>
      <c r="B75" s="1096"/>
      <c r="C75" s="1096"/>
      <c r="D75" s="1096"/>
      <c r="E75" s="1096"/>
      <c r="F75" s="1096"/>
      <c r="G75" s="1096"/>
      <c r="H75" s="1096"/>
      <c r="I75" s="1096"/>
      <c r="J75" s="1096"/>
      <c r="K75" s="1096"/>
      <c r="L75" s="1096"/>
      <c r="M75" s="1096"/>
      <c r="N75" s="1096"/>
      <c r="O75" s="1096"/>
      <c r="P75" s="1096"/>
      <c r="Q75" s="1096"/>
      <c r="R75" s="1096"/>
      <c r="S75" s="1096"/>
      <c r="T75" s="1096"/>
      <c r="U75" s="1096"/>
      <c r="V75" s="1096"/>
      <c r="W75" s="1096"/>
      <c r="X75" s="1096"/>
      <c r="Y75" s="1096"/>
      <c r="Z75" s="1096"/>
      <c r="AA75" s="1096"/>
      <c r="AB75" s="1096"/>
      <c r="AC75" s="1096"/>
      <c r="AD75" s="1096"/>
      <c r="AE75" s="1096"/>
      <c r="AF75" s="1096"/>
      <c r="AG75" s="1096"/>
      <c r="AH75" s="1096"/>
      <c r="AI75" s="1096"/>
      <c r="AJ75" s="1096"/>
      <c r="AK75" s="1096"/>
      <c r="AL75" s="1096"/>
      <c r="AM75" s="1096"/>
      <c r="AN75" s="1096"/>
      <c r="AO75" s="1096"/>
      <c r="AP75" s="1096"/>
      <c r="AQ75" s="1096"/>
      <c r="AR75" s="1096"/>
      <c r="AS75" s="1096"/>
      <c r="AT75" s="1096"/>
      <c r="AU75" s="1096"/>
      <c r="AV75" s="1096"/>
      <c r="AW75" s="1096"/>
      <c r="AX75" s="1096"/>
      <c r="AY75" s="1096"/>
      <c r="AZ75" s="1096"/>
      <c r="BA75" s="1096"/>
      <c r="BB75" s="1096"/>
      <c r="BC75" s="1096"/>
      <c r="BD75" s="1096"/>
      <c r="BE75" s="1096"/>
      <c r="BF75" s="1096"/>
      <c r="BG75" s="1096"/>
      <c r="BH75" s="1096"/>
      <c r="BI75" s="1096"/>
      <c r="BJ75" s="1096"/>
      <c r="BK75" s="1096"/>
      <c r="BL75" s="1096"/>
      <c r="BM75" s="1096"/>
      <c r="BN75" s="1096"/>
      <c r="BO75" s="1096"/>
      <c r="BP75" s="1096"/>
      <c r="BQ75" s="1096"/>
      <c r="BR75" s="1096"/>
      <c r="BS75" s="1096"/>
      <c r="BT75" s="1096"/>
      <c r="BU75" s="1096"/>
    </row>
    <row r="76" spans="1:73" ht="52" x14ac:dyDescent="0.3">
      <c r="A76" s="1096"/>
      <c r="B76" s="1107" t="s">
        <v>1144</v>
      </c>
      <c r="C76" s="1107" t="s">
        <v>1145</v>
      </c>
      <c r="D76" s="1107" t="s">
        <v>1146</v>
      </c>
      <c r="E76" s="1107" t="s">
        <v>1133</v>
      </c>
      <c r="F76" s="1107" t="s">
        <v>1134</v>
      </c>
      <c r="G76" s="1107" t="s">
        <v>993</v>
      </c>
      <c r="H76" s="1107" t="s">
        <v>122</v>
      </c>
      <c r="I76" s="1107" t="s">
        <v>123</v>
      </c>
      <c r="J76" s="1107" t="s">
        <v>1172</v>
      </c>
      <c r="K76" s="1107" t="s">
        <v>135</v>
      </c>
      <c r="L76" s="1107" t="s">
        <v>84</v>
      </c>
      <c r="M76" s="1107" t="s">
        <v>136</v>
      </c>
      <c r="N76" s="1107" t="s">
        <v>1132</v>
      </c>
      <c r="O76" s="1107" t="s">
        <v>137</v>
      </c>
      <c r="P76" s="1107" t="s">
        <v>138</v>
      </c>
      <c r="Q76" s="1107" t="s">
        <v>139</v>
      </c>
      <c r="R76" s="1107" t="s">
        <v>1138</v>
      </c>
      <c r="S76" s="1107" t="s">
        <v>45</v>
      </c>
      <c r="T76" s="1096"/>
      <c r="U76" s="1096"/>
      <c r="V76" s="1096"/>
      <c r="W76" s="1096"/>
      <c r="X76" s="1096"/>
      <c r="Y76" s="1096"/>
      <c r="Z76" s="1096"/>
      <c r="AA76" s="1096"/>
      <c r="AB76" s="1096"/>
      <c r="AC76" s="1096"/>
      <c r="AD76" s="1096"/>
      <c r="AE76" s="1096"/>
      <c r="AF76" s="1096"/>
      <c r="AG76" s="1096"/>
      <c r="AH76" s="1096"/>
      <c r="AI76" s="1096"/>
      <c r="AJ76" s="1096"/>
      <c r="AK76" s="1096"/>
      <c r="AL76" s="1096"/>
      <c r="AM76" s="1096"/>
      <c r="AN76" s="1096"/>
      <c r="AO76" s="1096"/>
      <c r="AP76" s="1096"/>
      <c r="AQ76" s="1096"/>
      <c r="AR76" s="1096"/>
      <c r="AS76" s="1096"/>
      <c r="AT76" s="1096"/>
      <c r="AU76" s="1096"/>
      <c r="AV76" s="1096"/>
      <c r="AW76" s="1096"/>
      <c r="AX76" s="1096"/>
      <c r="AY76" s="1096"/>
      <c r="AZ76" s="1096"/>
      <c r="BA76" s="1096"/>
      <c r="BB76" s="1096"/>
      <c r="BC76" s="1096"/>
      <c r="BD76" s="1096"/>
      <c r="BE76" s="1096"/>
      <c r="BF76" s="1096"/>
      <c r="BG76" s="1096"/>
      <c r="BH76" s="1096"/>
      <c r="BI76" s="1096"/>
      <c r="BJ76" s="1096"/>
      <c r="BK76" s="1096"/>
      <c r="BL76" s="1096"/>
      <c r="BM76" s="1096"/>
      <c r="BN76" s="1096"/>
      <c r="BO76" s="1096"/>
      <c r="BP76" s="1096"/>
      <c r="BQ76" s="1096"/>
      <c r="BR76" s="1096"/>
      <c r="BS76" s="1096"/>
      <c r="BT76" s="1096"/>
      <c r="BU76" s="1096"/>
    </row>
    <row r="77" spans="1:73" x14ac:dyDescent="0.25">
      <c r="A77" s="1096"/>
      <c r="B77" s="1100" t="str">
        <f>+$B$3</f>
        <v>Operating Capacity Factor</v>
      </c>
      <c r="C77" s="1109">
        <f ca="1">+H3</f>
        <v>0.94500000000000006</v>
      </c>
      <c r="D77" s="1109" t="str">
        <f ca="1">+B77&amp;" = "&amp;C77*100&amp;"%"</f>
        <v>Operating Capacity Factor = 94.5%</v>
      </c>
      <c r="E77" s="1113">
        <f t="shared" ref="E77:S77" si="7">+K52</f>
        <v>1.1370562518156271</v>
      </c>
      <c r="F77" s="1113">
        <f t="shared" si="7"/>
        <v>0</v>
      </c>
      <c r="G77" s="1113">
        <f t="shared" si="7"/>
        <v>7.6263800100931725E-4</v>
      </c>
      <c r="H77" s="1113">
        <f t="shared" si="7"/>
        <v>7.0179263286047067E-2</v>
      </c>
      <c r="I77" s="1113">
        <f t="shared" si="7"/>
        <v>9.8564392319752652E-3</v>
      </c>
      <c r="J77" s="1113">
        <f t="shared" si="7"/>
        <v>1.3468927852688519E-2</v>
      </c>
      <c r="K77" s="1113">
        <f t="shared" si="7"/>
        <v>4.279980102548327E-4</v>
      </c>
      <c r="L77" s="1113">
        <f t="shared" si="7"/>
        <v>7.6094894512259738E-4</v>
      </c>
      <c r="M77" s="1113">
        <f t="shared" si="7"/>
        <v>6.9395745381214097E-2</v>
      </c>
      <c r="N77" s="1113">
        <f t="shared" si="7"/>
        <v>0.82763314128326637</v>
      </c>
      <c r="O77" s="1113">
        <f t="shared" si="7"/>
        <v>0</v>
      </c>
      <c r="P77" s="1113">
        <f t="shared" si="7"/>
        <v>9.0915531609155012E-2</v>
      </c>
      <c r="Q77" s="1113">
        <f t="shared" si="7"/>
        <v>4.6103005254786361E-2</v>
      </c>
      <c r="R77" s="1113">
        <f t="shared" si="7"/>
        <v>7.006836780254655E-3</v>
      </c>
      <c r="S77" s="1113">
        <f t="shared" si="7"/>
        <v>2.0710521818713668E-3</v>
      </c>
      <c r="T77" s="1096"/>
      <c r="U77" s="1096"/>
      <c r="V77" s="1096"/>
      <c r="W77" s="1096"/>
      <c r="X77" s="1096"/>
      <c r="Y77" s="1096"/>
      <c r="Z77" s="1096"/>
      <c r="AA77" s="1096"/>
      <c r="AB77" s="1096"/>
      <c r="AC77" s="1096"/>
      <c r="AD77" s="1096"/>
      <c r="AE77" s="1096"/>
      <c r="AF77" s="1096"/>
      <c r="AG77" s="1096"/>
      <c r="AH77" s="1096"/>
      <c r="AI77" s="1096"/>
      <c r="AJ77" s="1096"/>
      <c r="AK77" s="1096"/>
      <c r="AL77" s="1096"/>
      <c r="AM77" s="1096"/>
      <c r="AN77" s="1096"/>
      <c r="AO77" s="1096"/>
      <c r="AP77" s="1096"/>
      <c r="AQ77" s="1096"/>
      <c r="AR77" s="1096"/>
      <c r="AS77" s="1096"/>
      <c r="AT77" s="1096"/>
      <c r="AU77" s="1096"/>
      <c r="AV77" s="1096"/>
      <c r="AW77" s="1096"/>
      <c r="AX77" s="1096"/>
      <c r="AY77" s="1096"/>
      <c r="AZ77" s="1096"/>
      <c r="BA77" s="1096"/>
      <c r="BB77" s="1096"/>
      <c r="BC77" s="1096"/>
      <c r="BD77" s="1096"/>
      <c r="BE77" s="1096"/>
      <c r="BF77" s="1096"/>
      <c r="BG77" s="1096"/>
      <c r="BH77" s="1096"/>
      <c r="BI77" s="1096"/>
      <c r="BJ77" s="1096"/>
      <c r="BK77" s="1096"/>
      <c r="BL77" s="1096"/>
      <c r="BM77" s="1096"/>
      <c r="BN77" s="1096"/>
      <c r="BO77" s="1096"/>
      <c r="BP77" s="1096"/>
      <c r="BQ77" s="1096"/>
      <c r="BR77" s="1096"/>
      <c r="BS77" s="1096"/>
      <c r="BT77" s="1096"/>
      <c r="BU77" s="1096"/>
    </row>
    <row r="78" spans="1:73" x14ac:dyDescent="0.25">
      <c r="A78" s="1096"/>
      <c r="B78" s="1100" t="str">
        <f t="shared" ref="B78:B79" si="8">+$B$3</f>
        <v>Operating Capacity Factor</v>
      </c>
      <c r="C78" s="1109">
        <f ca="1">+C3</f>
        <v>0.9</v>
      </c>
      <c r="D78" s="1100" t="str">
        <f t="shared" ref="D78:D79" ca="1" si="9">+B78&amp;" = "&amp;C78*100&amp;"%"</f>
        <v>Operating Capacity Factor = 90%</v>
      </c>
      <c r="E78" s="1113">
        <f t="shared" ref="E78:S78" si="10">+K$51</f>
        <v>1.1483403443896121</v>
      </c>
      <c r="F78" s="1113">
        <f t="shared" si="10"/>
        <v>0</v>
      </c>
      <c r="G78" s="1113">
        <f t="shared" si="10"/>
        <v>8.00769901059783E-4</v>
      </c>
      <c r="H78" s="1113">
        <f t="shared" si="10"/>
        <v>7.368822645034942E-2</v>
      </c>
      <c r="I78" s="1113">
        <f t="shared" si="10"/>
        <v>1.0349261193574029E-2</v>
      </c>
      <c r="J78" s="1113">
        <f t="shared" si="10"/>
        <v>1.3532384735662329E-2</v>
      </c>
      <c r="K78" s="1113">
        <f t="shared" si="10"/>
        <v>4.493979107675744E-4</v>
      </c>
      <c r="L78" s="1113">
        <f t="shared" si="10"/>
        <v>7.9899639237872733E-4</v>
      </c>
      <c r="M78" s="1113">
        <f t="shared" si="10"/>
        <v>7.2865532650274817E-2</v>
      </c>
      <c r="N78" s="1113">
        <f t="shared" si="10"/>
        <v>0.82763314128326659</v>
      </c>
      <c r="O78" s="1113">
        <f t="shared" si="10"/>
        <v>0</v>
      </c>
      <c r="P78" s="1113">
        <f t="shared" si="10"/>
        <v>9.2095669300620797E-2</v>
      </c>
      <c r="Q78" s="1113">
        <f t="shared" si="10"/>
        <v>4.8408155517525683E-2</v>
      </c>
      <c r="R78" s="1113">
        <f t="shared" si="10"/>
        <v>7.1457440652860586E-3</v>
      </c>
      <c r="S78" s="1113">
        <f t="shared" si="10"/>
        <v>2.1746047909649352E-3</v>
      </c>
      <c r="T78" s="1096"/>
      <c r="U78" s="1096"/>
      <c r="V78" s="1096"/>
      <c r="W78" s="1096"/>
      <c r="X78" s="1096"/>
      <c r="Y78" s="1096"/>
      <c r="Z78" s="1096"/>
      <c r="AA78" s="1096"/>
      <c r="AB78" s="1096"/>
      <c r="AC78" s="1096"/>
      <c r="AD78" s="1096"/>
      <c r="AE78" s="1096"/>
      <c r="AF78" s="1096"/>
      <c r="AG78" s="1096"/>
      <c r="AH78" s="1096"/>
      <c r="AI78" s="1096"/>
      <c r="AJ78" s="1096"/>
      <c r="AK78" s="1096"/>
      <c r="AL78" s="1096"/>
      <c r="AM78" s="1096"/>
      <c r="AN78" s="1096"/>
      <c r="AO78" s="1096"/>
      <c r="AP78" s="1096"/>
      <c r="AQ78" s="1096"/>
      <c r="AR78" s="1096"/>
      <c r="AS78" s="1096"/>
      <c r="AT78" s="1096"/>
      <c r="AU78" s="1096"/>
      <c r="AV78" s="1096"/>
      <c r="AW78" s="1096"/>
      <c r="AX78" s="1096"/>
      <c r="AY78" s="1096"/>
      <c r="AZ78" s="1096"/>
      <c r="BA78" s="1096"/>
      <c r="BB78" s="1096"/>
      <c r="BC78" s="1096"/>
      <c r="BD78" s="1096"/>
      <c r="BE78" s="1096"/>
      <c r="BF78" s="1096"/>
      <c r="BG78" s="1096"/>
      <c r="BH78" s="1096"/>
      <c r="BI78" s="1096"/>
      <c r="BJ78" s="1096"/>
      <c r="BK78" s="1096"/>
      <c r="BL78" s="1096"/>
      <c r="BM78" s="1096"/>
      <c r="BN78" s="1096"/>
      <c r="BO78" s="1096"/>
      <c r="BP78" s="1096"/>
      <c r="BQ78" s="1096"/>
      <c r="BR78" s="1096"/>
      <c r="BS78" s="1096"/>
      <c r="BT78" s="1096"/>
      <c r="BU78" s="1096"/>
    </row>
    <row r="79" spans="1:73" x14ac:dyDescent="0.25">
      <c r="A79" s="1096"/>
      <c r="B79" s="1100" t="str">
        <f t="shared" si="8"/>
        <v>Operating Capacity Factor</v>
      </c>
      <c r="C79" s="1109">
        <f ca="1">+I3</f>
        <v>0.85499999999999998</v>
      </c>
      <c r="D79" s="1100" t="str">
        <f t="shared" ca="1" si="9"/>
        <v>Operating Capacity Factor = 85.5%</v>
      </c>
      <c r="E79" s="1113">
        <f t="shared" ref="E79:S80" si="11">+K53</f>
        <v>1.1608122361819102</v>
      </c>
      <c r="F79" s="1113">
        <f t="shared" si="11"/>
        <v>0</v>
      </c>
      <c r="G79" s="1113">
        <f t="shared" si="11"/>
        <v>8.4291568532608729E-4</v>
      </c>
      <c r="H79" s="1113">
        <f t="shared" si="11"/>
        <v>7.7566554158262538E-2</v>
      </c>
      <c r="I79" s="1113">
        <f t="shared" si="11"/>
        <v>1.0893959151130556E-2</v>
      </c>
      <c r="J79" s="1113">
        <f t="shared" si="11"/>
        <v>1.3602521290528117E-2</v>
      </c>
      <c r="K79" s="1113">
        <f t="shared" si="11"/>
        <v>4.7305043238692041E-4</v>
      </c>
      <c r="L79" s="1113">
        <f t="shared" si="11"/>
        <v>8.4104883408287075E-4</v>
      </c>
      <c r="M79" s="1113">
        <f t="shared" si="11"/>
        <v>7.6700560684499805E-2</v>
      </c>
      <c r="N79" s="1113">
        <f t="shared" si="11"/>
        <v>0.8276331412832667</v>
      </c>
      <c r="O79" s="1113">
        <f t="shared" si="11"/>
        <v>0</v>
      </c>
      <c r="P79" s="1113">
        <f t="shared" si="11"/>
        <v>9.3400032012240827E-2</v>
      </c>
      <c r="Q79" s="1113">
        <f t="shared" si="11"/>
        <v>5.0955953176342814E-2</v>
      </c>
      <c r="R79" s="1113">
        <f t="shared" si="11"/>
        <v>7.2992731697943342E-3</v>
      </c>
      <c r="S79" s="1113">
        <f t="shared" si="11"/>
        <v>2.2890576746999311E-3</v>
      </c>
      <c r="T79" s="1096"/>
      <c r="U79" s="1096"/>
      <c r="V79" s="1096"/>
      <c r="W79" s="1096"/>
      <c r="X79" s="1096"/>
      <c r="Y79" s="1096"/>
      <c r="Z79" s="1096"/>
      <c r="AA79" s="1096"/>
      <c r="AB79" s="1096"/>
      <c r="AC79" s="1096"/>
      <c r="AD79" s="1096"/>
      <c r="AE79" s="1096"/>
      <c r="AF79" s="1096"/>
      <c r="AG79" s="1096"/>
      <c r="AH79" s="1096"/>
      <c r="AI79" s="1096"/>
      <c r="AJ79" s="1096"/>
      <c r="AK79" s="1096"/>
      <c r="AL79" s="1096"/>
      <c r="AM79" s="1096"/>
      <c r="AN79" s="1096"/>
      <c r="AO79" s="1096"/>
      <c r="AP79" s="1096"/>
      <c r="AQ79" s="1096"/>
      <c r="AR79" s="1096"/>
      <c r="AS79" s="1096"/>
      <c r="AT79" s="1096"/>
      <c r="AU79" s="1096"/>
      <c r="AV79" s="1096"/>
      <c r="AW79" s="1096"/>
      <c r="AX79" s="1096"/>
      <c r="AY79" s="1096"/>
      <c r="AZ79" s="1096"/>
      <c r="BA79" s="1096"/>
      <c r="BB79" s="1096"/>
      <c r="BC79" s="1096"/>
      <c r="BD79" s="1096"/>
      <c r="BE79" s="1096"/>
      <c r="BF79" s="1096"/>
      <c r="BG79" s="1096"/>
      <c r="BH79" s="1096"/>
      <c r="BI79" s="1096"/>
      <c r="BJ79" s="1096"/>
      <c r="BK79" s="1096"/>
      <c r="BL79" s="1096"/>
      <c r="BM79" s="1096"/>
      <c r="BN79" s="1096"/>
      <c r="BO79" s="1096"/>
      <c r="BP79" s="1096"/>
      <c r="BQ79" s="1096"/>
      <c r="BR79" s="1096"/>
      <c r="BS79" s="1096"/>
      <c r="BT79" s="1096"/>
      <c r="BU79" s="1096"/>
    </row>
    <row r="80" spans="1:73" x14ac:dyDescent="0.25">
      <c r="A80" s="1096"/>
      <c r="B80" s="1100" t="str">
        <f>+$B$4</f>
        <v>Plant Design Capacity (kg of H2/day)</v>
      </c>
      <c r="C80" s="1118">
        <f ca="1">ROUND(H4,0)</f>
        <v>398356</v>
      </c>
      <c r="D80" s="1100" t="str">
        <f ca="1">+B80&amp;" = "&amp;TEXT(C80,"0,000")</f>
        <v>Plant Design Capacity (kg of H2/day) = 398,356</v>
      </c>
      <c r="E80" s="1113">
        <f t="shared" si="11"/>
        <v>1.1438493361582245</v>
      </c>
      <c r="F80" s="1113">
        <f t="shared" si="11"/>
        <v>0</v>
      </c>
      <c r="G80" s="1113">
        <f t="shared" si="11"/>
        <v>7.8529353320430271E-4</v>
      </c>
      <c r="H80" s="1113">
        <f t="shared" si="11"/>
        <v>7.2264064406228831E-2</v>
      </c>
      <c r="I80" s="1113">
        <f t="shared" si="11"/>
        <v>1.0149242470277582E-2</v>
      </c>
      <c r="J80" s="1113">
        <f t="shared" si="11"/>
        <v>1.3507819832605366E-2</v>
      </c>
      <c r="K80" s="1113">
        <f t="shared" si="11"/>
        <v>4.4071246021390285E-4</v>
      </c>
      <c r="L80" s="1113">
        <f t="shared" si="11"/>
        <v>7.8355430087742378E-4</v>
      </c>
      <c r="M80" s="1113">
        <f t="shared" si="11"/>
        <v>7.106549220510118E-2</v>
      </c>
      <c r="N80" s="1113">
        <f t="shared" si="11"/>
        <v>0.82763314128326637</v>
      </c>
      <c r="O80" s="1113">
        <f t="shared" si="11"/>
        <v>0</v>
      </c>
      <c r="P80" s="1113">
        <f t="shared" si="11"/>
        <v>9.2095669300620839E-2</v>
      </c>
      <c r="Q80" s="1113">
        <f t="shared" si="11"/>
        <v>4.7472577867812546E-2</v>
      </c>
      <c r="R80" s="1113">
        <f t="shared" si="11"/>
        <v>7.0897790560418587E-3</v>
      </c>
      <c r="S80" s="1113">
        <f t="shared" si="11"/>
        <v>2.132576508382483E-3</v>
      </c>
      <c r="T80" s="1096"/>
      <c r="U80" s="1096"/>
      <c r="V80" s="1096"/>
      <c r="W80" s="1096"/>
      <c r="X80" s="1096"/>
      <c r="Y80" s="1096"/>
      <c r="Z80" s="1096"/>
      <c r="AA80" s="1096"/>
      <c r="AB80" s="1096"/>
      <c r="AC80" s="1096"/>
      <c r="AD80" s="1096"/>
      <c r="AE80" s="1096"/>
      <c r="AF80" s="1096"/>
      <c r="AG80" s="1096"/>
      <c r="AH80" s="1096"/>
      <c r="AI80" s="1096"/>
      <c r="AJ80" s="1096"/>
      <c r="AK80" s="1096"/>
      <c r="AL80" s="1096"/>
      <c r="AM80" s="1096"/>
      <c r="AN80" s="1096"/>
      <c r="AO80" s="1096"/>
      <c r="AP80" s="1096"/>
      <c r="AQ80" s="1096"/>
      <c r="AR80" s="1096"/>
      <c r="AS80" s="1096"/>
      <c r="AT80" s="1096"/>
      <c r="AU80" s="1096"/>
      <c r="AV80" s="1096"/>
      <c r="AW80" s="1096"/>
      <c r="AX80" s="1096"/>
      <c r="AY80" s="1096"/>
      <c r="AZ80" s="1096"/>
      <c r="BA80" s="1096"/>
      <c r="BB80" s="1096"/>
      <c r="BC80" s="1096"/>
      <c r="BD80" s="1096"/>
      <c r="BE80" s="1096"/>
      <c r="BF80" s="1096"/>
      <c r="BG80" s="1096"/>
      <c r="BH80" s="1096"/>
      <c r="BI80" s="1096"/>
      <c r="BJ80" s="1096"/>
      <c r="BK80" s="1096"/>
      <c r="BL80" s="1096"/>
      <c r="BM80" s="1096"/>
      <c r="BN80" s="1096"/>
      <c r="BO80" s="1096"/>
      <c r="BP80" s="1096"/>
      <c r="BQ80" s="1096"/>
      <c r="BR80" s="1096"/>
      <c r="BS80" s="1096"/>
      <c r="BT80" s="1096"/>
      <c r="BU80" s="1096"/>
    </row>
    <row r="81" spans="1:73" x14ac:dyDescent="0.25">
      <c r="A81" s="1096"/>
      <c r="B81" s="1100" t="str">
        <f t="shared" ref="B81:B82" si="12">+$B$4</f>
        <v>Plant Design Capacity (kg of H2/day)</v>
      </c>
      <c r="C81" s="1118">
        <f ca="1">+ROUND(C4,0)</f>
        <v>379387</v>
      </c>
      <c r="D81" s="1100" t="str">
        <f t="shared" ref="D81:D82" ca="1" si="13">+B81&amp;" = "&amp;TEXT(C81,"0,000")</f>
        <v>Plant Design Capacity (kg of H2/day) = 379,387</v>
      </c>
      <c r="E81" s="1113">
        <f t="shared" ref="E81:S81" si="14">+K$51</f>
        <v>1.1483403443896121</v>
      </c>
      <c r="F81" s="1113">
        <f t="shared" si="14"/>
        <v>0</v>
      </c>
      <c r="G81" s="1113">
        <f t="shared" si="14"/>
        <v>8.00769901059783E-4</v>
      </c>
      <c r="H81" s="1113">
        <f t="shared" si="14"/>
        <v>7.368822645034942E-2</v>
      </c>
      <c r="I81" s="1113">
        <f t="shared" si="14"/>
        <v>1.0349261193574029E-2</v>
      </c>
      <c r="J81" s="1113">
        <f t="shared" si="14"/>
        <v>1.3532384735662329E-2</v>
      </c>
      <c r="K81" s="1113">
        <f t="shared" si="14"/>
        <v>4.493979107675744E-4</v>
      </c>
      <c r="L81" s="1113">
        <f t="shared" si="14"/>
        <v>7.9899639237872733E-4</v>
      </c>
      <c r="M81" s="1113">
        <f t="shared" si="14"/>
        <v>7.2865532650274817E-2</v>
      </c>
      <c r="N81" s="1113">
        <f t="shared" si="14"/>
        <v>0.82763314128326659</v>
      </c>
      <c r="O81" s="1113">
        <f t="shared" si="14"/>
        <v>0</v>
      </c>
      <c r="P81" s="1113">
        <f t="shared" si="14"/>
        <v>9.2095669300620797E-2</v>
      </c>
      <c r="Q81" s="1113">
        <f t="shared" si="14"/>
        <v>4.8408155517525683E-2</v>
      </c>
      <c r="R81" s="1113">
        <f t="shared" si="14"/>
        <v>7.1457440652860586E-3</v>
      </c>
      <c r="S81" s="1113">
        <f t="shared" si="14"/>
        <v>2.1746047909649352E-3</v>
      </c>
      <c r="T81" s="1096"/>
      <c r="U81" s="1096"/>
      <c r="V81" s="1096"/>
      <c r="W81" s="1096"/>
      <c r="X81" s="1096"/>
      <c r="Y81" s="1096"/>
      <c r="Z81" s="1096"/>
      <c r="AA81" s="1096"/>
      <c r="AB81" s="1096"/>
      <c r="AC81" s="1096"/>
      <c r="AD81" s="1096"/>
      <c r="AE81" s="1096"/>
      <c r="AF81" s="1096"/>
      <c r="AG81" s="1096"/>
      <c r="AH81" s="1096"/>
      <c r="AI81" s="1096"/>
      <c r="AJ81" s="1096"/>
      <c r="AK81" s="1096"/>
      <c r="AL81" s="1096"/>
      <c r="AM81" s="1096"/>
      <c r="AN81" s="1096"/>
      <c r="AO81" s="1096"/>
      <c r="AP81" s="1096"/>
      <c r="AQ81" s="1096"/>
      <c r="AR81" s="1096"/>
      <c r="AS81" s="1096"/>
      <c r="AT81" s="1096"/>
      <c r="AU81" s="1096"/>
      <c r="AV81" s="1096"/>
      <c r="AW81" s="1096"/>
      <c r="AX81" s="1096"/>
      <c r="AY81" s="1096"/>
      <c r="AZ81" s="1096"/>
      <c r="BA81" s="1096"/>
      <c r="BB81" s="1096"/>
      <c r="BC81" s="1096"/>
      <c r="BD81" s="1096"/>
      <c r="BE81" s="1096"/>
      <c r="BF81" s="1096"/>
      <c r="BG81" s="1096"/>
      <c r="BH81" s="1096"/>
      <c r="BI81" s="1096"/>
      <c r="BJ81" s="1096"/>
      <c r="BK81" s="1096"/>
      <c r="BL81" s="1096"/>
      <c r="BM81" s="1096"/>
      <c r="BN81" s="1096"/>
      <c r="BO81" s="1096"/>
      <c r="BP81" s="1096"/>
      <c r="BQ81" s="1096"/>
      <c r="BR81" s="1096"/>
      <c r="BS81" s="1096"/>
      <c r="BT81" s="1096"/>
      <c r="BU81" s="1096"/>
    </row>
    <row r="82" spans="1:73" x14ac:dyDescent="0.25">
      <c r="A82" s="1096"/>
      <c r="B82" s="1100" t="str">
        <f t="shared" si="12"/>
        <v>Plant Design Capacity (kg of H2/day)</v>
      </c>
      <c r="C82" s="1118">
        <f ca="1">ROUND(I4,0)</f>
        <v>360418</v>
      </c>
      <c r="D82" s="1100" t="str">
        <f t="shared" ca="1" si="13"/>
        <v>Plant Design Capacity (kg of H2/day) = 360,418</v>
      </c>
      <c r="E82" s="1113">
        <f t="shared" ref="E82:S83" si="15">+K55</f>
        <v>1.1531735923681137</v>
      </c>
      <c r="F82" s="1113">
        <f t="shared" si="15"/>
        <v>0</v>
      </c>
      <c r="G82" s="1113">
        <f t="shared" si="15"/>
        <v>8.1736925639065607E-4</v>
      </c>
      <c r="H82" s="1113">
        <f t="shared" si="15"/>
        <v>7.5215727737463683E-2</v>
      </c>
      <c r="I82" s="1113">
        <f t="shared" si="15"/>
        <v>1.0563793562656324E-2</v>
      </c>
      <c r="J82" s="1113">
        <f t="shared" si="15"/>
        <v>1.3558951414059391E-2</v>
      </c>
      <c r="K82" s="1113">
        <f t="shared" si="15"/>
        <v>4.5871359008557873E-4</v>
      </c>
      <c r="L82" s="1113">
        <f t="shared" si="15"/>
        <v>8.1555898421394404E-4</v>
      </c>
      <c r="M82" s="1113">
        <f t="shared" si="15"/>
        <v>7.481225702764073E-2</v>
      </c>
      <c r="N82" s="1113">
        <f t="shared" si="15"/>
        <v>0.82763314128326693</v>
      </c>
      <c r="O82" s="1113">
        <f t="shared" si="15"/>
        <v>0</v>
      </c>
      <c r="P82" s="1113">
        <f t="shared" si="15"/>
        <v>9.2095669300620797E-2</v>
      </c>
      <c r="Q82" s="1113">
        <f t="shared" si="15"/>
        <v>4.9411620024975463E-2</v>
      </c>
      <c r="R82" s="1113">
        <f t="shared" si="15"/>
        <v>7.2058459934369332E-3</v>
      </c>
      <c r="S82" s="1113">
        <f t="shared" si="15"/>
        <v>2.2196827060834644E-3</v>
      </c>
      <c r="T82" s="1096"/>
      <c r="U82" s="1096"/>
      <c r="V82" s="1096"/>
      <c r="W82" s="1096"/>
      <c r="X82" s="1096"/>
      <c r="Y82" s="1096"/>
      <c r="Z82" s="1096"/>
      <c r="AA82" s="1096"/>
      <c r="AB82" s="1096"/>
      <c r="AC82" s="1096"/>
      <c r="AD82" s="1096"/>
      <c r="AE82" s="1096"/>
      <c r="AF82" s="1096"/>
      <c r="AG82" s="1096"/>
      <c r="AH82" s="1096"/>
      <c r="AI82" s="1096"/>
      <c r="AJ82" s="1096"/>
      <c r="AK82" s="1096"/>
      <c r="AL82" s="1096"/>
      <c r="AM82" s="1096"/>
      <c r="AN82" s="1096"/>
      <c r="AO82" s="1096"/>
      <c r="AP82" s="1096"/>
      <c r="AQ82" s="1096"/>
      <c r="AR82" s="1096"/>
      <c r="AS82" s="1096"/>
      <c r="AT82" s="1096"/>
      <c r="AU82" s="1096"/>
      <c r="AV82" s="1096"/>
      <c r="AW82" s="1096"/>
      <c r="AX82" s="1096"/>
      <c r="AY82" s="1096"/>
      <c r="AZ82" s="1096"/>
      <c r="BA82" s="1096"/>
      <c r="BB82" s="1096"/>
      <c r="BC82" s="1096"/>
      <c r="BD82" s="1096"/>
      <c r="BE82" s="1096"/>
      <c r="BF82" s="1096"/>
      <c r="BG82" s="1096"/>
      <c r="BH82" s="1096"/>
      <c r="BI82" s="1096"/>
      <c r="BJ82" s="1096"/>
      <c r="BK82" s="1096"/>
      <c r="BL82" s="1096"/>
      <c r="BM82" s="1096"/>
      <c r="BN82" s="1096"/>
      <c r="BO82" s="1096"/>
      <c r="BP82" s="1096"/>
      <c r="BQ82" s="1096"/>
      <c r="BR82" s="1096"/>
      <c r="BS82" s="1096"/>
      <c r="BT82" s="1096"/>
      <c r="BU82" s="1096"/>
    </row>
    <row r="83" spans="1:73" x14ac:dyDescent="0.25">
      <c r="A83" s="1096"/>
      <c r="B83" s="1100" t="str">
        <f>+$B$5</f>
        <v>After-tax Real IRR</v>
      </c>
      <c r="C83" s="1109">
        <f ca="1">+ROUND(H5,2)</f>
        <v>0.08</v>
      </c>
      <c r="D83" s="1100" t="str">
        <f t="shared" ref="D83:D85" ca="1" si="16">+B83&amp;" = "&amp;C83*100&amp;"%"</f>
        <v>After-tax Real IRR = 8%</v>
      </c>
      <c r="E83" s="1113">
        <f t="shared" si="15"/>
        <v>1.1461985173255709</v>
      </c>
      <c r="F83" s="1113">
        <f t="shared" si="15"/>
        <v>0</v>
      </c>
      <c r="G83" s="1113">
        <f t="shared" si="15"/>
        <v>8.8791669525435516E-4</v>
      </c>
      <c r="H83" s="1113">
        <f t="shared" si="15"/>
        <v>7.023231164183219E-2</v>
      </c>
      <c r="I83" s="1113">
        <f t="shared" si="15"/>
        <v>1.0332963050295596E-2</v>
      </c>
      <c r="J83" s="1113">
        <f t="shared" si="15"/>
        <v>1.306825985797838E-2</v>
      </c>
      <c r="K83" s="1113">
        <f t="shared" si="15"/>
        <v>4.2639607246159424E-4</v>
      </c>
      <c r="L83" s="1113">
        <f t="shared" si="15"/>
        <v>8.8595017782531127E-4</v>
      </c>
      <c r="M83" s="1113">
        <f t="shared" si="15"/>
        <v>7.2807022071961255E-2</v>
      </c>
      <c r="N83" s="1113">
        <f t="shared" si="15"/>
        <v>0.83098380877630285</v>
      </c>
      <c r="O83" s="1113">
        <f t="shared" si="15"/>
        <v>0</v>
      </c>
      <c r="P83" s="1113">
        <f t="shared" si="15"/>
        <v>9.2089203568719413E-2</v>
      </c>
      <c r="Q83" s="1113">
        <f t="shared" si="15"/>
        <v>4.7557872871080577E-2</v>
      </c>
      <c r="R83" s="1113">
        <f t="shared" si="15"/>
        <v>6.2913816017244736E-3</v>
      </c>
      <c r="S83" s="1113">
        <f t="shared" si="15"/>
        <v>2.4112643306428679E-3</v>
      </c>
      <c r="T83" s="1096"/>
      <c r="U83" s="1096"/>
      <c r="V83" s="1096"/>
      <c r="W83" s="1096"/>
      <c r="X83" s="1096"/>
      <c r="Y83" s="1096"/>
      <c r="Z83" s="1096"/>
      <c r="AA83" s="1096"/>
      <c r="AB83" s="1096"/>
      <c r="AC83" s="1096"/>
      <c r="AD83" s="1096"/>
      <c r="AE83" s="1096"/>
      <c r="AF83" s="1096"/>
      <c r="AG83" s="1096"/>
      <c r="AH83" s="1096"/>
      <c r="AI83" s="1096"/>
      <c r="AJ83" s="1096"/>
      <c r="AK83" s="1096"/>
      <c r="AL83" s="1096"/>
      <c r="AM83" s="1096"/>
      <c r="AN83" s="1096"/>
      <c r="AO83" s="1096"/>
      <c r="AP83" s="1096"/>
      <c r="AQ83" s="1096"/>
      <c r="AR83" s="1096"/>
      <c r="AS83" s="1096"/>
      <c r="AT83" s="1096"/>
      <c r="AU83" s="1096"/>
      <c r="AV83" s="1096"/>
      <c r="AW83" s="1096"/>
      <c r="AX83" s="1096"/>
      <c r="AY83" s="1096"/>
      <c r="AZ83" s="1096"/>
      <c r="BA83" s="1096"/>
      <c r="BB83" s="1096"/>
      <c r="BC83" s="1096"/>
      <c r="BD83" s="1096"/>
      <c r="BE83" s="1096"/>
      <c r="BF83" s="1096"/>
      <c r="BG83" s="1096"/>
      <c r="BH83" s="1096"/>
      <c r="BI83" s="1096"/>
      <c r="BJ83" s="1096"/>
      <c r="BK83" s="1096"/>
      <c r="BL83" s="1096"/>
      <c r="BM83" s="1096"/>
      <c r="BN83" s="1096"/>
      <c r="BO83" s="1096"/>
      <c r="BP83" s="1096"/>
      <c r="BQ83" s="1096"/>
      <c r="BR83" s="1096"/>
      <c r="BS83" s="1096"/>
      <c r="BT83" s="1096"/>
      <c r="BU83" s="1096"/>
    </row>
    <row r="84" spans="1:73" x14ac:dyDescent="0.25">
      <c r="A84" s="1096"/>
      <c r="B84" s="1100" t="str">
        <f t="shared" ref="B84:B85" si="17">+$B$5</f>
        <v>After-tax Real IRR</v>
      </c>
      <c r="C84" s="1109">
        <f ca="1">ROUND(C5,2)</f>
        <v>0.08</v>
      </c>
      <c r="D84" s="1100" t="str">
        <f t="shared" ca="1" si="16"/>
        <v>After-tax Real IRR = 8%</v>
      </c>
      <c r="E84" s="1113">
        <f t="shared" ref="E84:S84" si="18">+K$51</f>
        <v>1.1483403443896121</v>
      </c>
      <c r="F84" s="1113">
        <f t="shared" si="18"/>
        <v>0</v>
      </c>
      <c r="G84" s="1113">
        <f t="shared" si="18"/>
        <v>8.00769901059783E-4</v>
      </c>
      <c r="H84" s="1113">
        <f t="shared" si="18"/>
        <v>7.368822645034942E-2</v>
      </c>
      <c r="I84" s="1113">
        <f t="shared" si="18"/>
        <v>1.0349261193574029E-2</v>
      </c>
      <c r="J84" s="1113">
        <f t="shared" si="18"/>
        <v>1.3532384735662329E-2</v>
      </c>
      <c r="K84" s="1113">
        <f t="shared" si="18"/>
        <v>4.493979107675744E-4</v>
      </c>
      <c r="L84" s="1113">
        <f t="shared" si="18"/>
        <v>7.9899639237872733E-4</v>
      </c>
      <c r="M84" s="1113">
        <f t="shared" si="18"/>
        <v>7.2865532650274817E-2</v>
      </c>
      <c r="N84" s="1113">
        <f t="shared" si="18"/>
        <v>0.82763314128326659</v>
      </c>
      <c r="O84" s="1113">
        <f t="shared" si="18"/>
        <v>0</v>
      </c>
      <c r="P84" s="1113">
        <f t="shared" si="18"/>
        <v>9.2095669300620797E-2</v>
      </c>
      <c r="Q84" s="1113">
        <f t="shared" si="18"/>
        <v>4.8408155517525683E-2</v>
      </c>
      <c r="R84" s="1113">
        <f t="shared" si="18"/>
        <v>7.1457440652860586E-3</v>
      </c>
      <c r="S84" s="1113">
        <f t="shared" si="18"/>
        <v>2.1746047909649352E-3</v>
      </c>
      <c r="T84" s="1096"/>
      <c r="U84" s="1096"/>
      <c r="V84" s="1096"/>
      <c r="W84" s="1096"/>
      <c r="X84" s="1096"/>
      <c r="Y84" s="1096"/>
      <c r="Z84" s="1096"/>
      <c r="AA84" s="1096"/>
      <c r="AB84" s="1096"/>
      <c r="AC84" s="1096"/>
      <c r="AD84" s="1096"/>
      <c r="AE84" s="1096"/>
      <c r="AF84" s="1096"/>
      <c r="AG84" s="1096"/>
      <c r="AH84" s="1096"/>
      <c r="AI84" s="1096"/>
      <c r="AJ84" s="1096"/>
      <c r="AK84" s="1096"/>
      <c r="AL84" s="1096"/>
      <c r="AM84" s="1096"/>
      <c r="AN84" s="1096"/>
      <c r="AO84" s="1096"/>
      <c r="AP84" s="1096"/>
      <c r="AQ84" s="1096"/>
      <c r="AR84" s="1096"/>
      <c r="AS84" s="1096"/>
      <c r="AT84" s="1096"/>
      <c r="AU84" s="1096"/>
      <c r="AV84" s="1096"/>
      <c r="AW84" s="1096"/>
      <c r="AX84" s="1096"/>
      <c r="AY84" s="1096"/>
      <c r="AZ84" s="1096"/>
      <c r="BA84" s="1096"/>
      <c r="BB84" s="1096"/>
      <c r="BC84" s="1096"/>
      <c r="BD84" s="1096"/>
      <c r="BE84" s="1096"/>
      <c r="BF84" s="1096"/>
      <c r="BG84" s="1096"/>
      <c r="BH84" s="1096"/>
      <c r="BI84" s="1096"/>
      <c r="BJ84" s="1096"/>
      <c r="BK84" s="1096"/>
      <c r="BL84" s="1096"/>
      <c r="BM84" s="1096"/>
      <c r="BN84" s="1096"/>
      <c r="BO84" s="1096"/>
      <c r="BP84" s="1096"/>
      <c r="BQ84" s="1096"/>
      <c r="BR84" s="1096"/>
      <c r="BS84" s="1096"/>
      <c r="BT84" s="1096"/>
      <c r="BU84" s="1096"/>
    </row>
    <row r="85" spans="1:73" x14ac:dyDescent="0.25">
      <c r="A85" s="1096"/>
      <c r="B85" s="1100" t="str">
        <f t="shared" si="17"/>
        <v>After-tax Real IRR</v>
      </c>
      <c r="C85" s="1109">
        <f ca="1">ROUND(I5,2)</f>
        <v>0.08</v>
      </c>
      <c r="D85" s="1100" t="str">
        <f t="shared" ca="1" si="16"/>
        <v>After-tax Real IRR = 8%</v>
      </c>
      <c r="E85" s="1113">
        <f t="shared" ref="E85:S86" si="19">+K57</f>
        <v>1.150693586435334</v>
      </c>
      <c r="F85" s="1113">
        <f t="shared" si="19"/>
        <v>0</v>
      </c>
      <c r="G85" s="1113">
        <f t="shared" si="19"/>
        <v>7.2159527936608355E-4</v>
      </c>
      <c r="H85" s="1113">
        <f t="shared" si="19"/>
        <v>7.7209143420055998E-2</v>
      </c>
      <c r="I85" s="1113">
        <f t="shared" si="19"/>
        <v>1.0365687619318199E-2</v>
      </c>
      <c r="J85" s="1113">
        <f t="shared" si="19"/>
        <v>1.3990529213133424E-2</v>
      </c>
      <c r="K85" s="1113">
        <f t="shared" si="19"/>
        <v>4.7298690136872028E-4</v>
      </c>
      <c r="L85" s="1113">
        <f t="shared" si="19"/>
        <v>7.1999712302870018E-4</v>
      </c>
      <c r="M85" s="1113">
        <f t="shared" si="19"/>
        <v>7.292450376456043E-2</v>
      </c>
      <c r="N85" s="1113">
        <f t="shared" si="19"/>
        <v>0.82436341620038445</v>
      </c>
      <c r="O85" s="1113">
        <f t="shared" si="19"/>
        <v>0</v>
      </c>
      <c r="P85" s="1113">
        <f t="shared" si="19"/>
        <v>9.210412262253069E-2</v>
      </c>
      <c r="Q85" s="1113">
        <f t="shared" si="19"/>
        <v>4.9264456307007043E-2</v>
      </c>
      <c r="R85" s="1113">
        <f t="shared" si="19"/>
        <v>8.0407437214150296E-3</v>
      </c>
      <c r="S85" s="1113">
        <f t="shared" si="19"/>
        <v>1.9595948218963039E-3</v>
      </c>
      <c r="T85" s="1096"/>
      <c r="U85" s="1096"/>
      <c r="V85" s="1096"/>
      <c r="W85" s="1096"/>
      <c r="X85" s="1096"/>
      <c r="Y85" s="1096"/>
      <c r="Z85" s="1096"/>
      <c r="AA85" s="1096"/>
      <c r="AB85" s="1096"/>
      <c r="AC85" s="1096"/>
      <c r="AD85" s="1096"/>
      <c r="AE85" s="1096"/>
      <c r="AF85" s="1096"/>
      <c r="AG85" s="1096"/>
      <c r="AH85" s="1096"/>
      <c r="AI85" s="1096"/>
      <c r="AJ85" s="1096"/>
      <c r="AK85" s="1096"/>
      <c r="AL85" s="1096"/>
      <c r="AM85" s="1096"/>
      <c r="AN85" s="1096"/>
      <c r="AO85" s="1096"/>
      <c r="AP85" s="1096"/>
      <c r="AQ85" s="1096"/>
      <c r="AR85" s="1096"/>
      <c r="AS85" s="1096"/>
      <c r="AT85" s="1096"/>
      <c r="AU85" s="1096"/>
      <c r="AV85" s="1096"/>
      <c r="AW85" s="1096"/>
      <c r="AX85" s="1096"/>
      <c r="AY85" s="1096"/>
      <c r="AZ85" s="1096"/>
      <c r="BA85" s="1096"/>
      <c r="BB85" s="1096"/>
      <c r="BC85" s="1096"/>
      <c r="BD85" s="1096"/>
      <c r="BE85" s="1096"/>
      <c r="BF85" s="1096"/>
      <c r="BG85" s="1096"/>
      <c r="BH85" s="1096"/>
      <c r="BI85" s="1096"/>
      <c r="BJ85" s="1096"/>
      <c r="BK85" s="1096"/>
      <c r="BL85" s="1096"/>
      <c r="BM85" s="1096"/>
      <c r="BN85" s="1096"/>
      <c r="BO85" s="1096"/>
      <c r="BP85" s="1096"/>
      <c r="BQ85" s="1096"/>
      <c r="BR85" s="1096"/>
      <c r="BS85" s="1096"/>
      <c r="BT85" s="1096"/>
      <c r="BU85" s="1096"/>
    </row>
    <row r="86" spans="1:73" x14ac:dyDescent="0.25">
      <c r="A86" s="1096"/>
      <c r="B86" s="1100" t="str">
        <f>+$B$6</f>
        <v>Feedstock Consumption (% of baseline)</v>
      </c>
      <c r="C86" s="1100">
        <f>+ROUND(H6,3)</f>
        <v>0.95</v>
      </c>
      <c r="D86" s="1099" t="str">
        <f>+B86&amp;" = "&amp;C86*100&amp;"%"</f>
        <v>Feedstock Consumption (% of baseline) = 95%</v>
      </c>
      <c r="E86" s="1121">
        <f t="shared" si="19"/>
        <v>1.1061991008873879</v>
      </c>
      <c r="F86" s="1113">
        <f t="shared" si="19"/>
        <v>0</v>
      </c>
      <c r="G86" s="1113">
        <f t="shared" si="19"/>
        <v>8.00769901059783E-4</v>
      </c>
      <c r="H86" s="1113">
        <f t="shared" si="19"/>
        <v>7.368822645034942E-2</v>
      </c>
      <c r="I86" s="1113">
        <f t="shared" si="19"/>
        <v>1.0349261193574029E-2</v>
      </c>
      <c r="J86" s="1113">
        <f t="shared" si="19"/>
        <v>1.2968315846758406E-2</v>
      </c>
      <c r="K86" s="1113">
        <f t="shared" si="19"/>
        <v>4.493979107675744E-4</v>
      </c>
      <c r="L86" s="1113">
        <f t="shared" si="19"/>
        <v>7.9899639237872733E-4</v>
      </c>
      <c r="M86" s="1113">
        <f t="shared" si="19"/>
        <v>7.2865532650274817E-2</v>
      </c>
      <c r="N86" s="1113">
        <f t="shared" si="19"/>
        <v>0.78625148421910351</v>
      </c>
      <c r="O86" s="1113">
        <f t="shared" si="19"/>
        <v>0</v>
      </c>
      <c r="P86" s="1113">
        <f t="shared" si="19"/>
        <v>9.2095669300620797E-2</v>
      </c>
      <c r="Q86" s="1113">
        <f t="shared" si="19"/>
        <v>4.8408155517525683E-2</v>
      </c>
      <c r="R86" s="1113">
        <f t="shared" si="19"/>
        <v>6.9502265161292282E-3</v>
      </c>
      <c r="S86" s="1113">
        <f t="shared" si="19"/>
        <v>2.1746047909649352E-3</v>
      </c>
      <c r="T86" s="1096"/>
      <c r="U86" s="1096"/>
      <c r="V86" s="1096"/>
      <c r="W86" s="1096"/>
      <c r="X86" s="1096"/>
      <c r="Y86" s="1096"/>
      <c r="Z86" s="1096"/>
      <c r="AA86" s="1096"/>
      <c r="AB86" s="1096"/>
      <c r="AC86" s="1096"/>
      <c r="AD86" s="1096"/>
      <c r="AE86" s="1096"/>
      <c r="AF86" s="1096"/>
      <c r="AG86" s="1096"/>
      <c r="AH86" s="1096"/>
      <c r="AI86" s="1096"/>
      <c r="AJ86" s="1096"/>
      <c r="AK86" s="1096"/>
      <c r="AL86" s="1096"/>
      <c r="AM86" s="1096"/>
      <c r="AN86" s="1096"/>
      <c r="AO86" s="1096"/>
      <c r="AP86" s="1096"/>
      <c r="AQ86" s="1096"/>
      <c r="AR86" s="1096"/>
      <c r="AS86" s="1096"/>
      <c r="AT86" s="1096"/>
      <c r="AU86" s="1096"/>
      <c r="AV86" s="1096"/>
      <c r="AW86" s="1096"/>
      <c r="AX86" s="1096"/>
      <c r="AY86" s="1096"/>
      <c r="AZ86" s="1096"/>
      <c r="BA86" s="1096"/>
      <c r="BB86" s="1096"/>
      <c r="BC86" s="1096"/>
      <c r="BD86" s="1096"/>
      <c r="BE86" s="1096"/>
      <c r="BF86" s="1096"/>
      <c r="BG86" s="1096"/>
      <c r="BH86" s="1096"/>
      <c r="BI86" s="1096"/>
      <c r="BJ86" s="1096"/>
      <c r="BK86" s="1096"/>
      <c r="BL86" s="1096"/>
      <c r="BM86" s="1096"/>
      <c r="BN86" s="1096"/>
      <c r="BO86" s="1096"/>
      <c r="BP86" s="1096"/>
      <c r="BQ86" s="1096"/>
      <c r="BR86" s="1096"/>
      <c r="BS86" s="1096"/>
      <c r="BT86" s="1096"/>
      <c r="BU86" s="1096"/>
    </row>
    <row r="87" spans="1:73" x14ac:dyDescent="0.25">
      <c r="A87" s="1096"/>
      <c r="B87" s="1100" t="str">
        <f t="shared" ref="B87:B88" si="20">+$B$6</f>
        <v>Feedstock Consumption (% of baseline)</v>
      </c>
      <c r="C87" s="1100">
        <f>+ROUND(C6,3)</f>
        <v>1</v>
      </c>
      <c r="D87" s="1099" t="str">
        <f>+B87&amp;" = "&amp;C87*100&amp;"%"</f>
        <v>Feedstock Consumption (% of baseline) = 100%</v>
      </c>
      <c r="E87" s="1121">
        <f t="shared" ref="E87:S87" si="21">+K$51</f>
        <v>1.1483403443896121</v>
      </c>
      <c r="F87" s="1113">
        <f t="shared" si="21"/>
        <v>0</v>
      </c>
      <c r="G87" s="1113">
        <f t="shared" si="21"/>
        <v>8.00769901059783E-4</v>
      </c>
      <c r="H87" s="1113">
        <f t="shared" si="21"/>
        <v>7.368822645034942E-2</v>
      </c>
      <c r="I87" s="1113">
        <f t="shared" si="21"/>
        <v>1.0349261193574029E-2</v>
      </c>
      <c r="J87" s="1113">
        <f t="shared" si="21"/>
        <v>1.3532384735662329E-2</v>
      </c>
      <c r="K87" s="1113">
        <f t="shared" si="21"/>
        <v>4.493979107675744E-4</v>
      </c>
      <c r="L87" s="1113">
        <f t="shared" si="21"/>
        <v>7.9899639237872733E-4</v>
      </c>
      <c r="M87" s="1113">
        <f t="shared" si="21"/>
        <v>7.2865532650274817E-2</v>
      </c>
      <c r="N87" s="1113">
        <f t="shared" si="21"/>
        <v>0.82763314128326659</v>
      </c>
      <c r="O87" s="1113">
        <f t="shared" si="21"/>
        <v>0</v>
      </c>
      <c r="P87" s="1113">
        <f t="shared" si="21"/>
        <v>9.2095669300620797E-2</v>
      </c>
      <c r="Q87" s="1113">
        <f t="shared" si="21"/>
        <v>4.8408155517525683E-2</v>
      </c>
      <c r="R87" s="1113">
        <f t="shared" si="21"/>
        <v>7.1457440652860586E-3</v>
      </c>
      <c r="S87" s="1113">
        <f t="shared" si="21"/>
        <v>2.1746047909649352E-3</v>
      </c>
      <c r="T87" s="1096"/>
      <c r="U87" s="1096"/>
      <c r="V87" s="1096"/>
      <c r="W87" s="1096"/>
      <c r="X87" s="1096"/>
      <c r="Y87" s="1096"/>
      <c r="Z87" s="1096"/>
      <c r="AA87" s="1096"/>
      <c r="AB87" s="1096"/>
      <c r="AC87" s="1096"/>
      <c r="AD87" s="1096"/>
      <c r="AE87" s="1096"/>
      <c r="AF87" s="1096"/>
      <c r="AG87" s="1096"/>
      <c r="AH87" s="1096"/>
      <c r="AI87" s="1096"/>
      <c r="AJ87" s="1096"/>
      <c r="AK87" s="1096"/>
      <c r="AL87" s="1096"/>
      <c r="AM87" s="1096"/>
      <c r="AN87" s="1096"/>
      <c r="AO87" s="1096"/>
      <c r="AP87" s="1096"/>
      <c r="AQ87" s="1096"/>
      <c r="AR87" s="1096"/>
      <c r="AS87" s="1096"/>
      <c r="AT87" s="1096"/>
      <c r="AU87" s="1096"/>
      <c r="AV87" s="1096"/>
      <c r="AW87" s="1096"/>
      <c r="AX87" s="1096"/>
      <c r="AY87" s="1096"/>
      <c r="AZ87" s="1096"/>
      <c r="BA87" s="1096"/>
      <c r="BB87" s="1096"/>
      <c r="BC87" s="1096"/>
      <c r="BD87" s="1096"/>
      <c r="BE87" s="1096"/>
      <c r="BF87" s="1096"/>
      <c r="BG87" s="1096"/>
      <c r="BH87" s="1096"/>
      <c r="BI87" s="1096"/>
      <c r="BJ87" s="1096"/>
      <c r="BK87" s="1096"/>
      <c r="BL87" s="1096"/>
      <c r="BM87" s="1096"/>
      <c r="BN87" s="1096"/>
      <c r="BO87" s="1096"/>
      <c r="BP87" s="1096"/>
      <c r="BQ87" s="1096"/>
      <c r="BR87" s="1096"/>
      <c r="BS87" s="1096"/>
      <c r="BT87" s="1096"/>
      <c r="BU87" s="1096"/>
    </row>
    <row r="88" spans="1:73" x14ac:dyDescent="0.25">
      <c r="A88" s="1096"/>
      <c r="B88" s="1100" t="str">
        <f t="shared" si="20"/>
        <v>Feedstock Consumption (% of baseline)</v>
      </c>
      <c r="C88" s="1100">
        <f>+ROUND(I6,3)</f>
        <v>1.05</v>
      </c>
      <c r="D88" s="1099" t="str">
        <f>+B88&amp;" = "&amp;C88*100&amp;"%"</f>
        <v>Feedstock Consumption (% of baseline) = 105%</v>
      </c>
      <c r="E88" s="1121">
        <f t="shared" ref="E88:S89" si="22">+K59</f>
        <v>1.1904815878918364</v>
      </c>
      <c r="F88" s="1113">
        <f t="shared" si="22"/>
        <v>0</v>
      </c>
      <c r="G88" s="1113">
        <f t="shared" si="22"/>
        <v>8.00769901059783E-4</v>
      </c>
      <c r="H88" s="1113">
        <f t="shared" si="22"/>
        <v>7.368822645034942E-2</v>
      </c>
      <c r="I88" s="1113">
        <f t="shared" si="22"/>
        <v>1.0349261193574029E-2</v>
      </c>
      <c r="J88" s="1113">
        <f t="shared" si="22"/>
        <v>1.4096453624566256E-2</v>
      </c>
      <c r="K88" s="1113">
        <f t="shared" si="22"/>
        <v>4.493979107675744E-4</v>
      </c>
      <c r="L88" s="1113">
        <f t="shared" si="22"/>
        <v>7.9899639237872733E-4</v>
      </c>
      <c r="M88" s="1113">
        <f t="shared" si="22"/>
        <v>7.2865532650274817E-2</v>
      </c>
      <c r="N88" s="1113">
        <f t="shared" si="22"/>
        <v>0.86901479834742978</v>
      </c>
      <c r="O88" s="1113">
        <f t="shared" si="22"/>
        <v>0</v>
      </c>
      <c r="P88" s="1113">
        <f t="shared" si="22"/>
        <v>9.2095669300620797E-2</v>
      </c>
      <c r="Q88" s="1113">
        <f t="shared" si="22"/>
        <v>4.8408155517525683E-2</v>
      </c>
      <c r="R88" s="1113">
        <f t="shared" si="22"/>
        <v>7.341261614442823E-3</v>
      </c>
      <c r="S88" s="1113">
        <f t="shared" si="22"/>
        <v>2.1746047909649352E-3</v>
      </c>
      <c r="T88" s="1096"/>
      <c r="U88" s="1096"/>
      <c r="V88" s="1096"/>
      <c r="W88" s="1096"/>
      <c r="X88" s="1096"/>
      <c r="Y88" s="1096"/>
      <c r="Z88" s="1096"/>
      <c r="AA88" s="1096"/>
      <c r="AB88" s="1096"/>
      <c r="AC88" s="1096"/>
      <c r="AD88" s="1096"/>
      <c r="AE88" s="1096"/>
      <c r="AF88" s="1096"/>
      <c r="AG88" s="1096"/>
      <c r="AH88" s="1096"/>
      <c r="AI88" s="1096"/>
      <c r="AJ88" s="1096"/>
      <c r="AK88" s="1096"/>
      <c r="AL88" s="1096"/>
      <c r="AM88" s="1096"/>
      <c r="AN88" s="1096"/>
      <c r="AO88" s="1096"/>
      <c r="AP88" s="1096"/>
      <c r="AQ88" s="1096"/>
      <c r="AR88" s="1096"/>
      <c r="AS88" s="1096"/>
      <c r="AT88" s="1096"/>
      <c r="AU88" s="1096"/>
      <c r="AV88" s="1096"/>
      <c r="AW88" s="1096"/>
      <c r="AX88" s="1096"/>
      <c r="AY88" s="1096"/>
      <c r="AZ88" s="1096"/>
      <c r="BA88" s="1096"/>
      <c r="BB88" s="1096"/>
      <c r="BC88" s="1096"/>
      <c r="BD88" s="1096"/>
      <c r="BE88" s="1096"/>
      <c r="BF88" s="1096"/>
      <c r="BG88" s="1096"/>
      <c r="BH88" s="1096"/>
      <c r="BI88" s="1096"/>
      <c r="BJ88" s="1096"/>
      <c r="BK88" s="1096"/>
      <c r="BL88" s="1096"/>
      <c r="BM88" s="1096"/>
      <c r="BN88" s="1096"/>
      <c r="BO88" s="1096"/>
      <c r="BP88" s="1096"/>
      <c r="BQ88" s="1096"/>
      <c r="BR88" s="1096"/>
      <c r="BS88" s="1096"/>
      <c r="BT88" s="1096"/>
      <c r="BU88" s="1096"/>
    </row>
    <row r="89" spans="1:73" x14ac:dyDescent="0.25">
      <c r="A89" s="1096"/>
      <c r="B89" s="1100" t="str">
        <f>+$B$7</f>
        <v>Utilities Consumption (% of baseline)</v>
      </c>
      <c r="C89" s="1100">
        <f>+ROUND(H7,3)</f>
        <v>0.95</v>
      </c>
      <c r="D89" s="1099" t="str">
        <f t="shared" ref="D89:D91" si="23">+B89&amp;" = "&amp;C89*100&amp;"%"</f>
        <v>Utilities Consumption (% of baseline) = 95%</v>
      </c>
      <c r="E89" s="1121">
        <f t="shared" si="22"/>
        <v>1.146163411082268</v>
      </c>
      <c r="F89" s="1121">
        <f t="shared" si="22"/>
        <v>0</v>
      </c>
      <c r="G89" s="1121">
        <f t="shared" si="22"/>
        <v>8.00769901059783E-4</v>
      </c>
      <c r="H89" s="1121">
        <f t="shared" si="22"/>
        <v>7.368822645034942E-2</v>
      </c>
      <c r="I89" s="1121">
        <f t="shared" si="22"/>
        <v>1.0349261193574029E-2</v>
      </c>
      <c r="J89" s="1121">
        <f t="shared" si="22"/>
        <v>1.3503222140607963E-2</v>
      </c>
      <c r="K89" s="1121">
        <f t="shared" si="22"/>
        <v>4.493979107675744E-4</v>
      </c>
      <c r="L89" s="1121">
        <f t="shared" si="22"/>
        <v>7.9899639237872733E-4</v>
      </c>
      <c r="M89" s="1121">
        <f t="shared" si="22"/>
        <v>7.2865532650274817E-2</v>
      </c>
      <c r="N89" s="1121">
        <f t="shared" si="22"/>
        <v>0.82763314128326659</v>
      </c>
      <c r="O89" s="1121">
        <f t="shared" si="22"/>
        <v>0</v>
      </c>
      <c r="P89" s="1121">
        <f t="shared" si="22"/>
        <v>8.9958006926558115E-2</v>
      </c>
      <c r="Q89" s="1121">
        <f t="shared" si="22"/>
        <v>4.8408155517525683E-2</v>
      </c>
      <c r="R89" s="1121">
        <f t="shared" si="22"/>
        <v>7.1356357270595042E-3</v>
      </c>
      <c r="S89" s="1121">
        <f t="shared" si="22"/>
        <v>2.1746047909649352E-3</v>
      </c>
      <c r="T89" s="1096"/>
      <c r="U89" s="1096"/>
      <c r="V89" s="1096"/>
      <c r="W89" s="1096"/>
      <c r="X89" s="1096"/>
      <c r="Y89" s="1096"/>
      <c r="Z89" s="1096"/>
      <c r="AA89" s="1096"/>
      <c r="AB89" s="1096"/>
      <c r="AC89" s="1096"/>
      <c r="AD89" s="1096"/>
      <c r="AE89" s="1096"/>
      <c r="AF89" s="1096"/>
      <c r="AG89" s="1096"/>
      <c r="AH89" s="1096"/>
      <c r="AI89" s="1096"/>
      <c r="AJ89" s="1096"/>
      <c r="AK89" s="1096"/>
      <c r="AL89" s="1096"/>
      <c r="AM89" s="1096"/>
      <c r="AN89" s="1096"/>
      <c r="AO89" s="1096"/>
      <c r="AP89" s="1096"/>
      <c r="AQ89" s="1096"/>
      <c r="AR89" s="1096"/>
      <c r="AS89" s="1096"/>
      <c r="AT89" s="1096"/>
      <c r="AU89" s="1096"/>
      <c r="AV89" s="1096"/>
      <c r="AW89" s="1096"/>
      <c r="AX89" s="1096"/>
      <c r="AY89" s="1096"/>
      <c r="AZ89" s="1096"/>
      <c r="BA89" s="1096"/>
      <c r="BB89" s="1096"/>
      <c r="BC89" s="1096"/>
      <c r="BD89" s="1096"/>
      <c r="BE89" s="1096"/>
      <c r="BF89" s="1096"/>
      <c r="BG89" s="1096"/>
      <c r="BH89" s="1096"/>
      <c r="BI89" s="1096"/>
      <c r="BJ89" s="1096"/>
      <c r="BK89" s="1096"/>
      <c r="BL89" s="1096"/>
      <c r="BM89" s="1096"/>
      <c r="BN89" s="1096"/>
      <c r="BO89" s="1096"/>
      <c r="BP89" s="1096"/>
      <c r="BQ89" s="1096"/>
      <c r="BR89" s="1096"/>
      <c r="BS89" s="1096"/>
      <c r="BT89" s="1096"/>
      <c r="BU89" s="1096"/>
    </row>
    <row r="90" spans="1:73" x14ac:dyDescent="0.25">
      <c r="A90" s="1096"/>
      <c r="B90" s="1100" t="str">
        <f t="shared" ref="B90:B91" si="24">+$B$7</f>
        <v>Utilities Consumption (% of baseline)</v>
      </c>
      <c r="C90" s="1100">
        <f>+ROUND(C7,3)</f>
        <v>1</v>
      </c>
      <c r="D90" s="1099" t="str">
        <f t="shared" si="23"/>
        <v>Utilities Consumption (% of baseline) = 100%</v>
      </c>
      <c r="E90" s="1121">
        <f>+K$51</f>
        <v>1.1483403443896121</v>
      </c>
      <c r="F90" s="1121">
        <f t="shared" ref="F90:S90" si="25">+L$51</f>
        <v>0</v>
      </c>
      <c r="G90" s="1121">
        <f t="shared" si="25"/>
        <v>8.00769901059783E-4</v>
      </c>
      <c r="H90" s="1121">
        <f t="shared" si="25"/>
        <v>7.368822645034942E-2</v>
      </c>
      <c r="I90" s="1121">
        <f t="shared" si="25"/>
        <v>1.0349261193574029E-2</v>
      </c>
      <c r="J90" s="1121">
        <f t="shared" si="25"/>
        <v>1.3532384735662329E-2</v>
      </c>
      <c r="K90" s="1121">
        <f t="shared" si="25"/>
        <v>4.493979107675744E-4</v>
      </c>
      <c r="L90" s="1121">
        <f t="shared" si="25"/>
        <v>7.9899639237872733E-4</v>
      </c>
      <c r="M90" s="1121">
        <f t="shared" si="25"/>
        <v>7.2865532650274817E-2</v>
      </c>
      <c r="N90" s="1121">
        <f t="shared" si="25"/>
        <v>0.82763314128326659</v>
      </c>
      <c r="O90" s="1121">
        <f t="shared" si="25"/>
        <v>0</v>
      </c>
      <c r="P90" s="1121">
        <f t="shared" si="25"/>
        <v>9.2095669300620797E-2</v>
      </c>
      <c r="Q90" s="1121">
        <f t="shared" si="25"/>
        <v>4.8408155517525683E-2</v>
      </c>
      <c r="R90" s="1121">
        <f t="shared" si="25"/>
        <v>7.1457440652860586E-3</v>
      </c>
      <c r="S90" s="1121">
        <f t="shared" si="25"/>
        <v>2.1746047909649352E-3</v>
      </c>
      <c r="T90" s="1096"/>
      <c r="U90" s="1096"/>
      <c r="V90" s="1096"/>
      <c r="W90" s="1096"/>
      <c r="X90" s="1096"/>
      <c r="Y90" s="1096"/>
      <c r="Z90" s="1096"/>
      <c r="AA90" s="1096"/>
      <c r="AB90" s="1096"/>
      <c r="AC90" s="1096"/>
      <c r="AD90" s="1096"/>
      <c r="AE90" s="1096"/>
      <c r="AF90" s="1096"/>
      <c r="AG90" s="1096"/>
      <c r="AH90" s="1096"/>
      <c r="AI90" s="1096"/>
      <c r="AJ90" s="1096"/>
      <c r="AK90" s="1096"/>
      <c r="AL90" s="1096"/>
      <c r="AM90" s="1096"/>
      <c r="AN90" s="1096"/>
      <c r="AO90" s="1096"/>
      <c r="AP90" s="1096"/>
      <c r="AQ90" s="1096"/>
      <c r="AR90" s="1096"/>
      <c r="AS90" s="1096"/>
      <c r="AT90" s="1096"/>
      <c r="AU90" s="1096"/>
      <c r="AV90" s="1096"/>
      <c r="AW90" s="1096"/>
      <c r="AX90" s="1096"/>
      <c r="AY90" s="1096"/>
      <c r="AZ90" s="1096"/>
      <c r="BA90" s="1096"/>
      <c r="BB90" s="1096"/>
      <c r="BC90" s="1096"/>
      <c r="BD90" s="1096"/>
      <c r="BE90" s="1096"/>
      <c r="BF90" s="1096"/>
      <c r="BG90" s="1096"/>
      <c r="BH90" s="1096"/>
      <c r="BI90" s="1096"/>
      <c r="BJ90" s="1096"/>
      <c r="BK90" s="1096"/>
      <c r="BL90" s="1096"/>
      <c r="BM90" s="1096"/>
      <c r="BN90" s="1096"/>
      <c r="BO90" s="1096"/>
      <c r="BP90" s="1096"/>
      <c r="BQ90" s="1096"/>
      <c r="BR90" s="1096"/>
      <c r="BS90" s="1096"/>
      <c r="BT90" s="1096"/>
      <c r="BU90" s="1096"/>
    </row>
    <row r="91" spans="1:73" x14ac:dyDescent="0.25">
      <c r="A91" s="1096"/>
      <c r="B91" s="1100" t="str">
        <f t="shared" si="24"/>
        <v>Utilities Consumption (% of baseline)</v>
      </c>
      <c r="C91" s="1100">
        <f>+ROUND(I7,3)</f>
        <v>1.05</v>
      </c>
      <c r="D91" s="1099" t="str">
        <f t="shared" si="23"/>
        <v>Utilities Consumption (% of baseline) = 105%</v>
      </c>
      <c r="E91" s="1121">
        <f t="shared" ref="E91:S92" si="26">+K61</f>
        <v>1.1505172776969557</v>
      </c>
      <c r="F91" s="1121">
        <f t="shared" si="26"/>
        <v>0</v>
      </c>
      <c r="G91" s="1121">
        <f t="shared" si="26"/>
        <v>8.00769901059783E-4</v>
      </c>
      <c r="H91" s="1121">
        <f t="shared" si="26"/>
        <v>7.368822645034942E-2</v>
      </c>
      <c r="I91" s="1121">
        <f t="shared" si="26"/>
        <v>1.0349261193574029E-2</v>
      </c>
      <c r="J91" s="1121">
        <f t="shared" si="26"/>
        <v>1.356154733071668E-2</v>
      </c>
      <c r="K91" s="1121">
        <f t="shared" si="26"/>
        <v>4.493979107675744E-4</v>
      </c>
      <c r="L91" s="1121">
        <f t="shared" si="26"/>
        <v>7.9899639237872733E-4</v>
      </c>
      <c r="M91" s="1121">
        <f t="shared" si="26"/>
        <v>7.2865532650274817E-2</v>
      </c>
      <c r="N91" s="1121">
        <f t="shared" si="26"/>
        <v>0.82763314128326659</v>
      </c>
      <c r="O91" s="1121">
        <f t="shared" si="26"/>
        <v>0</v>
      </c>
      <c r="P91" s="1121">
        <f t="shared" si="26"/>
        <v>9.4233331674683479E-2</v>
      </c>
      <c r="Q91" s="1121">
        <f t="shared" si="26"/>
        <v>4.8408155517525683E-2</v>
      </c>
      <c r="R91" s="1121">
        <f t="shared" si="26"/>
        <v>7.1558524035126034E-3</v>
      </c>
      <c r="S91" s="1121">
        <f t="shared" si="26"/>
        <v>2.1746047909649352E-3</v>
      </c>
      <c r="T91" s="1096"/>
      <c r="U91" s="1096"/>
      <c r="V91" s="1096"/>
      <c r="W91" s="1096"/>
      <c r="X91" s="1096"/>
      <c r="Y91" s="1096"/>
      <c r="Z91" s="1096"/>
      <c r="AA91" s="1096"/>
      <c r="AB91" s="1096"/>
      <c r="AC91" s="1096"/>
      <c r="AD91" s="1096"/>
      <c r="AE91" s="1096"/>
      <c r="AF91" s="1096"/>
      <c r="AG91" s="1096"/>
      <c r="AH91" s="1096"/>
      <c r="AI91" s="1096"/>
      <c r="AJ91" s="1096"/>
      <c r="AK91" s="1096"/>
      <c r="AL91" s="1096"/>
      <c r="AM91" s="1096"/>
      <c r="AN91" s="1096"/>
      <c r="AO91" s="1096"/>
      <c r="AP91" s="1096"/>
      <c r="AQ91" s="1096"/>
      <c r="AR91" s="1096"/>
      <c r="AS91" s="1096"/>
      <c r="AT91" s="1096"/>
      <c r="AU91" s="1096"/>
      <c r="AV91" s="1096"/>
      <c r="AW91" s="1096"/>
      <c r="AX91" s="1096"/>
      <c r="AY91" s="1096"/>
      <c r="AZ91" s="1096"/>
      <c r="BA91" s="1096"/>
      <c r="BB91" s="1096"/>
      <c r="BC91" s="1096"/>
      <c r="BD91" s="1096"/>
      <c r="BE91" s="1096"/>
      <c r="BF91" s="1096"/>
      <c r="BG91" s="1096"/>
      <c r="BH91" s="1096"/>
      <c r="BI91" s="1096"/>
      <c r="BJ91" s="1096"/>
      <c r="BK91" s="1096"/>
      <c r="BL91" s="1096"/>
      <c r="BM91" s="1096"/>
      <c r="BN91" s="1096"/>
      <c r="BO91" s="1096"/>
      <c r="BP91" s="1096"/>
      <c r="BQ91" s="1096"/>
      <c r="BR91" s="1096"/>
      <c r="BS91" s="1096"/>
      <c r="BT91" s="1096"/>
      <c r="BU91" s="1096"/>
    </row>
    <row r="92" spans="1:73" x14ac:dyDescent="0.25">
      <c r="A92" s="1096"/>
      <c r="B92" s="1100" t="str">
        <f>+$B$8</f>
        <v>Total Capital Investment</v>
      </c>
      <c r="C92" s="1118">
        <f ca="1">+ROUND(H8,0)</f>
        <v>236073121</v>
      </c>
      <c r="D92" s="1100" t="str">
        <f t="shared" ref="D92:D97" ca="1" si="27">+B92&amp;" = "&amp;TEXT(C92/1000,"$0,000K")</f>
        <v>Total Capital Investment = $236,073K</v>
      </c>
      <c r="E92" s="1113">
        <f t="shared" si="26"/>
        <v>1.1400161850943142</v>
      </c>
      <c r="F92" s="1113">
        <f t="shared" si="26"/>
        <v>0</v>
      </c>
      <c r="G92" s="1113">
        <f t="shared" si="26"/>
        <v>7.6073140600679378E-4</v>
      </c>
      <c r="H92" s="1113">
        <f t="shared" si="26"/>
        <v>6.9995636948897252E-2</v>
      </c>
      <c r="I92" s="1113">
        <f t="shared" si="26"/>
        <v>1.0349261193574029E-2</v>
      </c>
      <c r="J92" s="1113">
        <f t="shared" si="26"/>
        <v>1.3504624599101083E-2</v>
      </c>
      <c r="K92" s="1113">
        <f t="shared" si="26"/>
        <v>4.493979107675744E-4</v>
      </c>
      <c r="L92" s="1113">
        <f t="shared" si="26"/>
        <v>7.5895789732573779E-4</v>
      </c>
      <c r="M92" s="1113">
        <f t="shared" si="26"/>
        <v>7.0831355334048787E-2</v>
      </c>
      <c r="N92" s="1113">
        <f t="shared" si="26"/>
        <v>0.82763314128326659</v>
      </c>
      <c r="O92" s="1113">
        <f t="shared" si="26"/>
        <v>0</v>
      </c>
      <c r="P92" s="1113">
        <f t="shared" si="26"/>
        <v>9.2095669300620797E-2</v>
      </c>
      <c r="Q92" s="1113">
        <f t="shared" si="26"/>
        <v>4.5982375234034645E-2</v>
      </c>
      <c r="R92" s="1113">
        <f t="shared" si="26"/>
        <v>7.1108635925669168E-3</v>
      </c>
      <c r="S92" s="1113">
        <f t="shared" si="26"/>
        <v>2.0656332061170452E-3</v>
      </c>
      <c r="T92" s="1096"/>
      <c r="U92" s="1096"/>
      <c r="V92" s="1096"/>
      <c r="W92" s="1096"/>
      <c r="X92" s="1096"/>
      <c r="Y92" s="1096"/>
      <c r="Z92" s="1096"/>
      <c r="AA92" s="1096"/>
      <c r="AB92" s="1096"/>
      <c r="AC92" s="1096"/>
      <c r="AD92" s="1096"/>
      <c r="AE92" s="1096"/>
      <c r="AF92" s="1096"/>
      <c r="AG92" s="1096"/>
      <c r="AH92" s="1096"/>
      <c r="AI92" s="1096"/>
      <c r="AJ92" s="1096"/>
      <c r="AK92" s="1096"/>
      <c r="AL92" s="1096"/>
      <c r="AM92" s="1096"/>
      <c r="AN92" s="1096"/>
      <c r="AO92" s="1096"/>
      <c r="AP92" s="1096"/>
      <c r="AQ92" s="1096"/>
      <c r="AR92" s="1096"/>
      <c r="AS92" s="1096"/>
      <c r="AT92" s="1096"/>
      <c r="AU92" s="1096"/>
      <c r="AV92" s="1096"/>
      <c r="AW92" s="1096"/>
      <c r="AX92" s="1096"/>
      <c r="AY92" s="1096"/>
      <c r="AZ92" s="1096"/>
      <c r="BA92" s="1096"/>
      <c r="BB92" s="1096"/>
      <c r="BC92" s="1096"/>
      <c r="BD92" s="1096"/>
      <c r="BE92" s="1096"/>
      <c r="BF92" s="1096"/>
      <c r="BG92" s="1096"/>
      <c r="BH92" s="1096"/>
      <c r="BI92" s="1096"/>
      <c r="BJ92" s="1096"/>
      <c r="BK92" s="1096"/>
      <c r="BL92" s="1096"/>
      <c r="BM92" s="1096"/>
      <c r="BN92" s="1096"/>
      <c r="BO92" s="1096"/>
      <c r="BP92" s="1096"/>
      <c r="BQ92" s="1096"/>
      <c r="BR92" s="1096"/>
      <c r="BS92" s="1096"/>
      <c r="BT92" s="1096"/>
      <c r="BU92" s="1096"/>
    </row>
    <row r="93" spans="1:73" x14ac:dyDescent="0.25">
      <c r="A93" s="1096"/>
      <c r="B93" s="1100" t="str">
        <f t="shared" ref="B93:B94" si="28">+$B$8</f>
        <v>Total Capital Investment</v>
      </c>
      <c r="C93" s="1118">
        <f ca="1">+ROUND(C8,0)</f>
        <v>248498022</v>
      </c>
      <c r="D93" s="1100" t="str">
        <f t="shared" ca="1" si="27"/>
        <v>Total Capital Investment = $248,498K</v>
      </c>
      <c r="E93" s="1113">
        <f t="shared" ref="E93:S93" si="29">+K$51</f>
        <v>1.1483403443896121</v>
      </c>
      <c r="F93" s="1113">
        <f t="shared" si="29"/>
        <v>0</v>
      </c>
      <c r="G93" s="1113">
        <f t="shared" si="29"/>
        <v>8.00769901059783E-4</v>
      </c>
      <c r="H93" s="1113">
        <f t="shared" si="29"/>
        <v>7.368822645034942E-2</v>
      </c>
      <c r="I93" s="1113">
        <f t="shared" si="29"/>
        <v>1.0349261193574029E-2</v>
      </c>
      <c r="J93" s="1113">
        <f t="shared" si="29"/>
        <v>1.3532384735662329E-2</v>
      </c>
      <c r="K93" s="1113">
        <f t="shared" si="29"/>
        <v>4.493979107675744E-4</v>
      </c>
      <c r="L93" s="1113">
        <f t="shared" si="29"/>
        <v>7.9899639237872733E-4</v>
      </c>
      <c r="M93" s="1113">
        <f t="shared" si="29"/>
        <v>7.2865532650274817E-2</v>
      </c>
      <c r="N93" s="1113">
        <f t="shared" si="29"/>
        <v>0.82763314128326659</v>
      </c>
      <c r="O93" s="1113">
        <f t="shared" si="29"/>
        <v>0</v>
      </c>
      <c r="P93" s="1113">
        <f t="shared" si="29"/>
        <v>9.2095669300620797E-2</v>
      </c>
      <c r="Q93" s="1113">
        <f t="shared" si="29"/>
        <v>4.8408155517525683E-2</v>
      </c>
      <c r="R93" s="1113">
        <f t="shared" si="29"/>
        <v>7.1457440652860586E-3</v>
      </c>
      <c r="S93" s="1113">
        <f t="shared" si="29"/>
        <v>2.1746047909649352E-3</v>
      </c>
      <c r="T93" s="1096"/>
      <c r="U93" s="1096"/>
      <c r="V93" s="1096"/>
      <c r="W93" s="1096"/>
      <c r="X93" s="1096"/>
      <c r="Y93" s="1096"/>
      <c r="Z93" s="1096"/>
      <c r="AA93" s="1096"/>
      <c r="AB93" s="1096"/>
      <c r="AC93" s="1096"/>
      <c r="AD93" s="1096"/>
      <c r="AE93" s="1096"/>
      <c r="AF93" s="1096"/>
      <c r="AG93" s="1096"/>
      <c r="AH93" s="1096"/>
      <c r="AI93" s="1096"/>
      <c r="AJ93" s="1096"/>
      <c r="AK93" s="1096"/>
      <c r="AL93" s="1096"/>
      <c r="AM93" s="1096"/>
      <c r="AN93" s="1096"/>
      <c r="AO93" s="1096"/>
      <c r="AP93" s="1096"/>
      <c r="AQ93" s="1096"/>
      <c r="AR93" s="1096"/>
      <c r="AS93" s="1096"/>
      <c r="AT93" s="1096"/>
      <c r="AU93" s="1096"/>
      <c r="AV93" s="1096"/>
      <c r="AW93" s="1096"/>
      <c r="AX93" s="1096"/>
      <c r="AY93" s="1096"/>
      <c r="AZ93" s="1096"/>
      <c r="BA93" s="1096"/>
      <c r="BB93" s="1096"/>
      <c r="BC93" s="1096"/>
      <c r="BD93" s="1096"/>
      <c r="BE93" s="1096"/>
      <c r="BF93" s="1096"/>
      <c r="BG93" s="1096"/>
      <c r="BH93" s="1096"/>
      <c r="BI93" s="1096"/>
      <c r="BJ93" s="1096"/>
      <c r="BK93" s="1096"/>
      <c r="BL93" s="1096"/>
      <c r="BM93" s="1096"/>
      <c r="BN93" s="1096"/>
      <c r="BO93" s="1096"/>
      <c r="BP93" s="1096"/>
      <c r="BQ93" s="1096"/>
      <c r="BR93" s="1096"/>
      <c r="BS93" s="1096"/>
      <c r="BT93" s="1096"/>
      <c r="BU93" s="1096"/>
    </row>
    <row r="94" spans="1:73" x14ac:dyDescent="0.25">
      <c r="A94" s="1096"/>
      <c r="B94" s="1100" t="str">
        <f t="shared" si="28"/>
        <v>Total Capital Investment</v>
      </c>
      <c r="C94" s="1118">
        <f ca="1">+ROUND(I8,0)</f>
        <v>260922923</v>
      </c>
      <c r="D94" s="1100" t="str">
        <f t="shared" ca="1" si="27"/>
        <v>Total Capital Investment = $260,923K</v>
      </c>
      <c r="E94" s="1113">
        <f t="shared" ref="E94:S95" si="30">+K63</f>
        <v>1.1566645036849095</v>
      </c>
      <c r="F94" s="1113">
        <f t="shared" si="30"/>
        <v>0</v>
      </c>
      <c r="G94" s="1113">
        <f t="shared" si="30"/>
        <v>8.40808396112772E-4</v>
      </c>
      <c r="H94" s="1113">
        <f t="shared" si="30"/>
        <v>7.7380815951801615E-2</v>
      </c>
      <c r="I94" s="1113">
        <f t="shared" si="30"/>
        <v>1.0349261193574029E-2</v>
      </c>
      <c r="J94" s="1113">
        <f t="shared" si="30"/>
        <v>1.3560144872223566E-2</v>
      </c>
      <c r="K94" s="1113">
        <f t="shared" si="30"/>
        <v>4.493979107675744E-4</v>
      </c>
      <c r="L94" s="1113">
        <f t="shared" si="30"/>
        <v>8.3903488743171633E-4</v>
      </c>
      <c r="M94" s="1113">
        <f t="shared" si="30"/>
        <v>7.4899709966500805E-2</v>
      </c>
      <c r="N94" s="1113">
        <f t="shared" si="30"/>
        <v>0.82763314128326659</v>
      </c>
      <c r="O94" s="1113">
        <f t="shared" si="30"/>
        <v>0</v>
      </c>
      <c r="P94" s="1113">
        <f t="shared" si="30"/>
        <v>9.2095669300620797E-2</v>
      </c>
      <c r="Q94" s="1113">
        <f t="shared" si="30"/>
        <v>5.0833935801016715E-2</v>
      </c>
      <c r="R94" s="1113">
        <f t="shared" si="30"/>
        <v>7.1806245380051908E-3</v>
      </c>
      <c r="S94" s="1113">
        <f t="shared" si="30"/>
        <v>2.2835763758128247E-3</v>
      </c>
      <c r="T94" s="1096"/>
      <c r="U94" s="1096"/>
      <c r="V94" s="1096"/>
      <c r="W94" s="1096"/>
      <c r="X94" s="1096"/>
      <c r="Y94" s="1096"/>
      <c r="Z94" s="1096"/>
      <c r="AA94" s="1096"/>
      <c r="AB94" s="1096"/>
      <c r="AC94" s="1096"/>
      <c r="AD94" s="1096"/>
      <c r="AE94" s="1096"/>
      <c r="AF94" s="1096"/>
      <c r="AG94" s="1096"/>
      <c r="AH94" s="1096"/>
      <c r="AI94" s="1096"/>
      <c r="AJ94" s="1096"/>
      <c r="AK94" s="1096"/>
      <c r="AL94" s="1096"/>
      <c r="AM94" s="1096"/>
      <c r="AN94" s="1096"/>
      <c r="AO94" s="1096"/>
      <c r="AP94" s="1096"/>
      <c r="AQ94" s="1096"/>
      <c r="AR94" s="1096"/>
      <c r="AS94" s="1096"/>
      <c r="AT94" s="1096"/>
      <c r="AU94" s="1096"/>
      <c r="AV94" s="1096"/>
      <c r="AW94" s="1096"/>
      <c r="AX94" s="1096"/>
      <c r="AY94" s="1096"/>
      <c r="AZ94" s="1096"/>
      <c r="BA94" s="1096"/>
      <c r="BB94" s="1096"/>
      <c r="BC94" s="1096"/>
      <c r="BD94" s="1096"/>
      <c r="BE94" s="1096"/>
      <c r="BF94" s="1096"/>
      <c r="BG94" s="1096"/>
      <c r="BH94" s="1096"/>
      <c r="BI94" s="1096"/>
      <c r="BJ94" s="1096"/>
      <c r="BK94" s="1096"/>
      <c r="BL94" s="1096"/>
      <c r="BM94" s="1096"/>
      <c r="BN94" s="1096"/>
      <c r="BO94" s="1096"/>
      <c r="BP94" s="1096"/>
      <c r="BQ94" s="1096"/>
      <c r="BR94" s="1096"/>
      <c r="BS94" s="1096"/>
      <c r="BT94" s="1096"/>
      <c r="BU94" s="1096"/>
    </row>
    <row r="95" spans="1:73" x14ac:dyDescent="0.25">
      <c r="A95" s="1096"/>
      <c r="B95" s="1100" t="str">
        <f>+$B$9</f>
        <v>Total Fixed Operating Cost</v>
      </c>
      <c r="C95" s="1118">
        <f ca="1">+ROUND(H9,0)</f>
        <v>8456290</v>
      </c>
      <c r="D95" s="1100" t="str">
        <f t="shared" ca="1" si="27"/>
        <v>Total Fixed Operating Cost = $8,456K</v>
      </c>
      <c r="E95" s="1113">
        <f t="shared" si="30"/>
        <v>1.1446301147643239</v>
      </c>
      <c r="F95" s="1113">
        <f t="shared" si="30"/>
        <v>0</v>
      </c>
      <c r="G95" s="1113">
        <f t="shared" si="30"/>
        <v>8.00769901059783E-4</v>
      </c>
      <c r="H95" s="1113">
        <f t="shared" si="30"/>
        <v>7.368822645034942E-2</v>
      </c>
      <c r="I95" s="1113">
        <f t="shared" si="30"/>
        <v>1.0349261193574029E-2</v>
      </c>
      <c r="J95" s="1113">
        <f t="shared" si="30"/>
        <v>1.3482665443227888E-2</v>
      </c>
      <c r="K95" s="1113">
        <f t="shared" si="30"/>
        <v>4.493979107675744E-4</v>
      </c>
      <c r="L95" s="1113">
        <f t="shared" si="30"/>
        <v>7.9899639237872733E-4</v>
      </c>
      <c r="M95" s="1113">
        <f t="shared" si="30"/>
        <v>6.9222256017761094E-2</v>
      </c>
      <c r="N95" s="1113">
        <f t="shared" si="30"/>
        <v>0.82763314128326659</v>
      </c>
      <c r="O95" s="1113">
        <f t="shared" si="30"/>
        <v>0</v>
      </c>
      <c r="P95" s="1113">
        <f t="shared" si="30"/>
        <v>9.2095669300620797E-2</v>
      </c>
      <c r="Q95" s="1113">
        <f t="shared" si="30"/>
        <v>4.8408155517525683E-2</v>
      </c>
      <c r="R95" s="1113">
        <f t="shared" si="30"/>
        <v>7.128510364945881E-3</v>
      </c>
      <c r="S95" s="1113">
        <f t="shared" si="30"/>
        <v>2.1746047909649352E-3</v>
      </c>
      <c r="T95" s="1096"/>
      <c r="U95" s="1096"/>
      <c r="V95" s="1096"/>
      <c r="W95" s="1096"/>
      <c r="X95" s="1096"/>
      <c r="Y95" s="1096"/>
      <c r="Z95" s="1096"/>
      <c r="AA95" s="1096"/>
      <c r="AB95" s="1096"/>
      <c r="AC95" s="1096"/>
      <c r="AD95" s="1096"/>
      <c r="AE95" s="1096"/>
      <c r="AF95" s="1096"/>
      <c r="AG95" s="1096"/>
      <c r="AH95" s="1096"/>
      <c r="AI95" s="1096"/>
      <c r="AJ95" s="1096"/>
      <c r="AK95" s="1096"/>
      <c r="AL95" s="1096"/>
      <c r="AM95" s="1096"/>
      <c r="AN95" s="1096"/>
      <c r="AO95" s="1096"/>
      <c r="AP95" s="1096"/>
      <c r="AQ95" s="1096"/>
      <c r="AR95" s="1096"/>
      <c r="AS95" s="1096"/>
      <c r="AT95" s="1096"/>
      <c r="AU95" s="1096"/>
      <c r="AV95" s="1096"/>
      <c r="AW95" s="1096"/>
      <c r="AX95" s="1096"/>
      <c r="AY95" s="1096"/>
      <c r="AZ95" s="1096"/>
      <c r="BA95" s="1096"/>
      <c r="BB95" s="1096"/>
      <c r="BC95" s="1096"/>
      <c r="BD95" s="1096"/>
      <c r="BE95" s="1096"/>
      <c r="BF95" s="1096"/>
      <c r="BG95" s="1096"/>
      <c r="BH95" s="1096"/>
      <c r="BI95" s="1096"/>
      <c r="BJ95" s="1096"/>
      <c r="BK95" s="1096"/>
      <c r="BL95" s="1096"/>
      <c r="BM95" s="1096"/>
      <c r="BN95" s="1096"/>
      <c r="BO95" s="1096"/>
      <c r="BP95" s="1096"/>
      <c r="BQ95" s="1096"/>
      <c r="BR95" s="1096"/>
      <c r="BS95" s="1096"/>
      <c r="BT95" s="1096"/>
      <c r="BU95" s="1096"/>
    </row>
    <row r="96" spans="1:73" x14ac:dyDescent="0.25">
      <c r="A96" s="1096"/>
      <c r="B96" s="1100" t="str">
        <f t="shared" ref="B96:B97" si="31">+$B$9</f>
        <v>Total Fixed Operating Cost</v>
      </c>
      <c r="C96" s="1118">
        <f ca="1">+ROUND(C9,0)</f>
        <v>8901358</v>
      </c>
      <c r="D96" s="1100" t="str">
        <f t="shared" ca="1" si="27"/>
        <v>Total Fixed Operating Cost = $8,901K</v>
      </c>
      <c r="E96" s="1113">
        <f t="shared" ref="E96:S96" si="32">+K$51</f>
        <v>1.1483403443896121</v>
      </c>
      <c r="F96" s="1113">
        <f t="shared" si="32"/>
        <v>0</v>
      </c>
      <c r="G96" s="1113">
        <f t="shared" si="32"/>
        <v>8.00769901059783E-4</v>
      </c>
      <c r="H96" s="1113">
        <f t="shared" si="32"/>
        <v>7.368822645034942E-2</v>
      </c>
      <c r="I96" s="1113">
        <f t="shared" si="32"/>
        <v>1.0349261193574029E-2</v>
      </c>
      <c r="J96" s="1113">
        <f t="shared" si="32"/>
        <v>1.3532384735662329E-2</v>
      </c>
      <c r="K96" s="1113">
        <f t="shared" si="32"/>
        <v>4.493979107675744E-4</v>
      </c>
      <c r="L96" s="1113">
        <f t="shared" si="32"/>
        <v>7.9899639237872733E-4</v>
      </c>
      <c r="M96" s="1113">
        <f t="shared" si="32"/>
        <v>7.2865532650274817E-2</v>
      </c>
      <c r="N96" s="1113">
        <f t="shared" si="32"/>
        <v>0.82763314128326659</v>
      </c>
      <c r="O96" s="1113">
        <f t="shared" si="32"/>
        <v>0</v>
      </c>
      <c r="P96" s="1113">
        <f t="shared" si="32"/>
        <v>9.2095669300620797E-2</v>
      </c>
      <c r="Q96" s="1113">
        <f t="shared" si="32"/>
        <v>4.8408155517525683E-2</v>
      </c>
      <c r="R96" s="1113">
        <f t="shared" si="32"/>
        <v>7.1457440652860586E-3</v>
      </c>
      <c r="S96" s="1113">
        <f t="shared" si="32"/>
        <v>2.1746047909649352E-3</v>
      </c>
      <c r="T96" s="1096"/>
      <c r="U96" s="1096"/>
      <c r="V96" s="1096"/>
      <c r="W96" s="1096"/>
      <c r="X96" s="1096"/>
      <c r="Y96" s="1096"/>
      <c r="Z96" s="1096"/>
      <c r="AA96" s="1096"/>
      <c r="AB96" s="1096"/>
      <c r="AC96" s="1096"/>
      <c r="AD96" s="1096"/>
      <c r="AE96" s="1096"/>
      <c r="AF96" s="1096"/>
      <c r="AG96" s="1096"/>
      <c r="AH96" s="1096"/>
      <c r="AI96" s="1096"/>
      <c r="AJ96" s="1096"/>
      <c r="AK96" s="1096"/>
      <c r="AL96" s="1096"/>
      <c r="AM96" s="1096"/>
      <c r="AN96" s="1096"/>
      <c r="AO96" s="1096"/>
      <c r="AP96" s="1096"/>
      <c r="AQ96" s="1096"/>
      <c r="AR96" s="1096"/>
      <c r="AS96" s="1096"/>
      <c r="AT96" s="1096"/>
      <c r="AU96" s="1096"/>
      <c r="AV96" s="1096"/>
      <c r="AW96" s="1096"/>
      <c r="AX96" s="1096"/>
      <c r="AY96" s="1096"/>
      <c r="AZ96" s="1096"/>
      <c r="BA96" s="1096"/>
      <c r="BB96" s="1096"/>
      <c r="BC96" s="1096"/>
      <c r="BD96" s="1096"/>
      <c r="BE96" s="1096"/>
      <c r="BF96" s="1096"/>
      <c r="BG96" s="1096"/>
      <c r="BH96" s="1096"/>
      <c r="BI96" s="1096"/>
      <c r="BJ96" s="1096"/>
      <c r="BK96" s="1096"/>
      <c r="BL96" s="1096"/>
      <c r="BM96" s="1096"/>
      <c r="BN96" s="1096"/>
      <c r="BO96" s="1096"/>
      <c r="BP96" s="1096"/>
      <c r="BQ96" s="1096"/>
      <c r="BR96" s="1096"/>
      <c r="BS96" s="1096"/>
      <c r="BT96" s="1096"/>
      <c r="BU96" s="1096"/>
    </row>
    <row r="97" spans="1:73" x14ac:dyDescent="0.25">
      <c r="A97" s="1096"/>
      <c r="B97" s="1100" t="str">
        <f t="shared" si="31"/>
        <v>Total Fixed Operating Cost</v>
      </c>
      <c r="C97" s="1118">
        <f ca="1">+ROUND(I9,0)</f>
        <v>9346426</v>
      </c>
      <c r="D97" s="1100" t="str">
        <f t="shared" ca="1" si="27"/>
        <v>Total Fixed Operating Cost = $9,346K</v>
      </c>
      <c r="E97" s="1113">
        <f t="shared" ref="E97:S97" si="33">+K65</f>
        <v>1.152050574014901</v>
      </c>
      <c r="F97" s="1113">
        <f t="shared" si="33"/>
        <v>0</v>
      </c>
      <c r="G97" s="1113">
        <f t="shared" si="33"/>
        <v>8.00769901059783E-4</v>
      </c>
      <c r="H97" s="1113">
        <f t="shared" si="33"/>
        <v>7.368822645034942E-2</v>
      </c>
      <c r="I97" s="1113">
        <f t="shared" si="33"/>
        <v>1.0349261193574029E-2</v>
      </c>
      <c r="J97" s="1113">
        <f t="shared" si="33"/>
        <v>1.3582104028096776E-2</v>
      </c>
      <c r="K97" s="1113">
        <f t="shared" si="33"/>
        <v>4.493979107675744E-4</v>
      </c>
      <c r="L97" s="1113">
        <f t="shared" si="33"/>
        <v>7.9899639237872733E-4</v>
      </c>
      <c r="M97" s="1113">
        <f t="shared" si="33"/>
        <v>7.6508809282788567E-2</v>
      </c>
      <c r="N97" s="1113">
        <f t="shared" si="33"/>
        <v>0.82763314128326659</v>
      </c>
      <c r="O97" s="1113">
        <f t="shared" si="33"/>
        <v>0</v>
      </c>
      <c r="P97" s="1113">
        <f t="shared" si="33"/>
        <v>9.2095669300620797E-2</v>
      </c>
      <c r="Q97" s="1113">
        <f t="shared" si="33"/>
        <v>4.8408155517525683E-2</v>
      </c>
      <c r="R97" s="1113">
        <f t="shared" si="33"/>
        <v>7.1629777656262907E-3</v>
      </c>
      <c r="S97" s="1113">
        <f t="shared" si="33"/>
        <v>2.1746047909649352E-3</v>
      </c>
      <c r="T97" s="1096"/>
      <c r="U97" s="1096"/>
      <c r="V97" s="1096"/>
      <c r="W97" s="1096"/>
      <c r="X97" s="1096"/>
      <c r="Y97" s="1096"/>
      <c r="Z97" s="1096"/>
      <c r="AA97" s="1096"/>
      <c r="AB97" s="1096"/>
      <c r="AC97" s="1096"/>
      <c r="AD97" s="1096"/>
      <c r="AE97" s="1096"/>
      <c r="AF97" s="1096"/>
      <c r="AG97" s="1096"/>
      <c r="AH97" s="1096"/>
      <c r="AI97" s="1096"/>
      <c r="AJ97" s="1096"/>
      <c r="AK97" s="1096"/>
      <c r="AL97" s="1096"/>
      <c r="AM97" s="1096"/>
      <c r="AN97" s="1096"/>
      <c r="AO97" s="1096"/>
      <c r="AP97" s="1096"/>
      <c r="AQ97" s="1096"/>
      <c r="AR97" s="1096"/>
      <c r="AS97" s="1096"/>
      <c r="AT97" s="1096"/>
      <c r="AU97" s="1096"/>
      <c r="AV97" s="1096"/>
      <c r="AW97" s="1096"/>
      <c r="AX97" s="1096"/>
      <c r="AY97" s="1096"/>
      <c r="AZ97" s="1096"/>
      <c r="BA97" s="1096"/>
      <c r="BB97" s="1096"/>
      <c r="BC97" s="1096"/>
      <c r="BD97" s="1096"/>
      <c r="BE97" s="1096"/>
      <c r="BF97" s="1096"/>
      <c r="BG97" s="1096"/>
      <c r="BH97" s="1096"/>
      <c r="BI97" s="1096"/>
      <c r="BJ97" s="1096"/>
      <c r="BK97" s="1096"/>
      <c r="BL97" s="1096"/>
      <c r="BM97" s="1096"/>
      <c r="BN97" s="1096"/>
      <c r="BO97" s="1096"/>
      <c r="BP97" s="1096"/>
      <c r="BQ97" s="1096"/>
      <c r="BR97" s="1096"/>
      <c r="BS97" s="1096"/>
      <c r="BT97" s="1096"/>
      <c r="BU97" s="1096"/>
    </row>
    <row r="98" spans="1:73" x14ac:dyDescent="0.25">
      <c r="A98" s="1096"/>
      <c r="B98" s="1096"/>
      <c r="C98" s="1096"/>
      <c r="D98" s="1096"/>
      <c r="E98" s="1096"/>
      <c r="F98" s="1096"/>
      <c r="G98" s="1096"/>
      <c r="H98" s="1096"/>
      <c r="I98" s="1096"/>
      <c r="J98" s="1096"/>
      <c r="K98" s="1096"/>
      <c r="L98" s="1096"/>
      <c r="M98" s="1096"/>
      <c r="N98" s="1096"/>
      <c r="O98" s="1096"/>
      <c r="P98" s="1096"/>
      <c r="Q98" s="1096"/>
      <c r="R98" s="1096"/>
      <c r="S98" s="1096"/>
      <c r="T98" s="1096"/>
      <c r="U98" s="1096"/>
      <c r="V98" s="1096"/>
      <c r="W98" s="1096"/>
      <c r="X98" s="1096"/>
      <c r="Y98" s="1096"/>
      <c r="Z98" s="1096"/>
      <c r="AA98" s="1096"/>
      <c r="AB98" s="1096"/>
      <c r="AC98" s="1096"/>
      <c r="AD98" s="1096"/>
      <c r="AE98" s="1096"/>
      <c r="AF98" s="1096"/>
      <c r="AG98" s="1096"/>
      <c r="AH98" s="1096"/>
      <c r="AI98" s="1096"/>
      <c r="AJ98" s="1096"/>
      <c r="AK98" s="1096"/>
      <c r="AL98" s="1096"/>
      <c r="AM98" s="1096"/>
      <c r="AN98" s="1096"/>
      <c r="AO98" s="1096"/>
      <c r="AP98" s="1096"/>
      <c r="AQ98" s="1096"/>
      <c r="AR98" s="1096"/>
      <c r="AS98" s="1096"/>
      <c r="AT98" s="1096"/>
      <c r="AU98" s="1096"/>
      <c r="AV98" s="1096"/>
      <c r="AW98" s="1096"/>
      <c r="AX98" s="1096"/>
      <c r="AY98" s="1096"/>
      <c r="AZ98" s="1096"/>
      <c r="BA98" s="1096"/>
      <c r="BB98" s="1096"/>
      <c r="BC98" s="1096"/>
      <c r="BD98" s="1096"/>
      <c r="BE98" s="1096"/>
      <c r="BF98" s="1096"/>
      <c r="BG98" s="1096"/>
      <c r="BH98" s="1096"/>
      <c r="BI98" s="1096"/>
      <c r="BJ98" s="1096"/>
      <c r="BK98" s="1096"/>
      <c r="BL98" s="1096"/>
      <c r="BM98" s="1096"/>
      <c r="BN98" s="1096"/>
      <c r="BO98" s="1096"/>
      <c r="BP98" s="1096"/>
      <c r="BQ98" s="1096"/>
      <c r="BR98" s="1096"/>
      <c r="BS98" s="1096"/>
      <c r="BT98" s="1096"/>
      <c r="BU98" s="1096"/>
    </row>
    <row r="99" spans="1:73" x14ac:dyDescent="0.25">
      <c r="A99" s="1096"/>
      <c r="B99" s="1096"/>
      <c r="C99" s="1096"/>
      <c r="D99" s="1096"/>
      <c r="E99" s="1096"/>
      <c r="F99" s="1096"/>
      <c r="G99" s="1096"/>
      <c r="H99" s="1096"/>
      <c r="I99" s="1096"/>
      <c r="J99" s="1096"/>
      <c r="K99" s="1096"/>
      <c r="L99" s="1096"/>
      <c r="M99" s="1096"/>
      <c r="N99" s="1096"/>
      <c r="O99" s="1096"/>
      <c r="P99" s="1096"/>
      <c r="Q99" s="1096"/>
      <c r="R99" s="1096"/>
      <c r="S99" s="1096"/>
      <c r="T99" s="1096"/>
      <c r="U99" s="1096"/>
      <c r="V99" s="1096"/>
      <c r="W99" s="1096"/>
      <c r="X99" s="1096"/>
      <c r="Y99" s="1096"/>
      <c r="Z99" s="1096"/>
      <c r="AA99" s="1096"/>
      <c r="AB99" s="1096"/>
      <c r="AC99" s="1096"/>
      <c r="AD99" s="1096"/>
      <c r="AE99" s="1096"/>
      <c r="AF99" s="1096"/>
      <c r="AG99" s="1096"/>
      <c r="AH99" s="1096"/>
      <c r="AI99" s="1096"/>
      <c r="AJ99" s="1096"/>
      <c r="AK99" s="1096"/>
      <c r="AL99" s="1096"/>
      <c r="AM99" s="1096"/>
      <c r="AN99" s="1096"/>
      <c r="AO99" s="1096"/>
      <c r="AP99" s="1096"/>
      <c r="AQ99" s="1096"/>
      <c r="AR99" s="1096"/>
      <c r="AS99" s="1096"/>
      <c r="AT99" s="1096"/>
      <c r="AU99" s="1096"/>
      <c r="AV99" s="1096"/>
      <c r="AW99" s="1096"/>
      <c r="AX99" s="1096"/>
      <c r="AY99" s="1096"/>
      <c r="AZ99" s="1096"/>
      <c r="BA99" s="1096"/>
      <c r="BB99" s="1096"/>
      <c r="BC99" s="1096"/>
      <c r="BD99" s="1096"/>
      <c r="BE99" s="1096"/>
      <c r="BF99" s="1096"/>
      <c r="BG99" s="1096"/>
      <c r="BH99" s="1096"/>
      <c r="BI99" s="1096"/>
      <c r="BJ99" s="1096"/>
      <c r="BK99" s="1096"/>
      <c r="BL99" s="1096"/>
      <c r="BM99" s="1096"/>
      <c r="BN99" s="1096"/>
      <c r="BO99" s="1096"/>
      <c r="BP99" s="1096"/>
      <c r="BQ99" s="1096"/>
      <c r="BR99" s="1096"/>
      <c r="BS99" s="1096"/>
      <c r="BT99" s="1096"/>
      <c r="BU99" s="1096"/>
    </row>
    <row r="100" spans="1:73" ht="26" x14ac:dyDescent="0.3">
      <c r="A100" s="1096"/>
      <c r="B100" s="1098" t="s">
        <v>1149</v>
      </c>
      <c r="C100" s="1119" t="s">
        <v>1148</v>
      </c>
      <c r="D100" s="1" t="s">
        <v>1158</v>
      </c>
      <c r="E100" s="1098" t="s">
        <v>1154</v>
      </c>
      <c r="F100" s="1098" t="s">
        <v>1155</v>
      </c>
      <c r="G100" s="1098" t="s">
        <v>1156</v>
      </c>
      <c r="H100" s="1098" t="s">
        <v>1150</v>
      </c>
      <c r="I100" s="1098" t="s">
        <v>1151</v>
      </c>
      <c r="J100" s="1098" t="s">
        <v>1152</v>
      </c>
      <c r="K100" s="1096"/>
      <c r="L100" s="1098" t="s">
        <v>1157</v>
      </c>
      <c r="M100" s="1107" t="s">
        <v>1160</v>
      </c>
      <c r="N100" s="1107" t="s">
        <v>1143</v>
      </c>
      <c r="O100" s="1096"/>
      <c r="P100" s="1096"/>
      <c r="Q100" s="1096"/>
      <c r="R100" s="1096"/>
      <c r="S100" s="1096"/>
      <c r="T100" s="1096"/>
      <c r="U100" s="1096"/>
      <c r="V100" s="1096"/>
      <c r="W100" s="1096"/>
      <c r="X100" s="1096"/>
      <c r="Y100" s="1096"/>
      <c r="Z100" s="1096"/>
      <c r="AA100" s="1096"/>
      <c r="AB100" s="1096"/>
      <c r="AC100" s="1096"/>
      <c r="AD100" s="1096"/>
      <c r="AE100" s="1096"/>
      <c r="AF100" s="1096"/>
      <c r="AG100" s="1096"/>
      <c r="AH100" s="1096"/>
      <c r="AI100" s="1096"/>
      <c r="AJ100" s="1096"/>
      <c r="AK100" s="1096"/>
      <c r="AL100" s="1096"/>
      <c r="AM100" s="1096"/>
      <c r="AN100" s="1096"/>
      <c r="AO100" s="1096"/>
      <c r="AP100" s="1096"/>
      <c r="AQ100" s="1096"/>
      <c r="AR100" s="1096"/>
      <c r="AS100" s="1096"/>
      <c r="AT100" s="1096"/>
      <c r="AU100" s="1096"/>
      <c r="AV100" s="1096"/>
      <c r="AW100" s="1096"/>
      <c r="AX100" s="1096"/>
      <c r="AY100" s="1096"/>
      <c r="AZ100" s="1096"/>
      <c r="BA100" s="1096"/>
      <c r="BB100" s="1096"/>
      <c r="BC100" s="1096"/>
      <c r="BD100" s="1096"/>
      <c r="BE100" s="1096"/>
      <c r="BF100" s="1096"/>
      <c r="BG100" s="1096"/>
      <c r="BH100" s="1096"/>
      <c r="BI100" s="1096"/>
      <c r="BJ100" s="1096"/>
      <c r="BK100" s="1096"/>
      <c r="BL100" s="1096"/>
      <c r="BM100" s="1096"/>
      <c r="BN100" s="1096"/>
      <c r="BO100" s="1096"/>
      <c r="BP100" s="1096"/>
      <c r="BQ100" s="1096"/>
      <c r="BR100" s="1096"/>
      <c r="BS100" s="1096"/>
      <c r="BT100" s="1096"/>
      <c r="BU100" s="1096"/>
    </row>
    <row r="101" spans="1:73" ht="13" x14ac:dyDescent="0.3">
      <c r="A101" s="1096"/>
      <c r="B101" s="1096"/>
      <c r="C101" s="1120">
        <v>1</v>
      </c>
      <c r="D101" s="1100" t="str">
        <f t="shared" ref="D101:D107" ca="1" si="34">OFFSET(L$100,MATCH($C101,$N$101:$N$107,0),0)</f>
        <v>Feedstock Consumption (% of baseline)
(95%, 100%, 105%)</v>
      </c>
      <c r="E101" s="1195">
        <f t="shared" ref="E101:E107" ca="1" si="35">OFFSET(E$76,MATCH($C101,$N$101:$N$107,0)*3-2,0)</f>
        <v>1.1061991008873879</v>
      </c>
      <c r="F101" s="1195">
        <f t="shared" ref="F101:F107" si="36">+$K$51</f>
        <v>1.1483403443896121</v>
      </c>
      <c r="G101" s="1195">
        <f t="shared" ref="G101:G107" ca="1" si="37">OFFSET(E$76,MATCH($C101,$N$101:$N$107,0)*3,0)</f>
        <v>1.1904815878918364</v>
      </c>
      <c r="H101" s="1100">
        <f ca="1">+E101</f>
        <v>1.1061991008873879</v>
      </c>
      <c r="I101" s="1100">
        <f ca="1">+F101-E101</f>
        <v>4.2141243502224146E-2</v>
      </c>
      <c r="J101" s="1100">
        <f ca="1">+G101-F101</f>
        <v>4.2141243502224368E-2</v>
      </c>
      <c r="K101" s="1096"/>
      <c r="L101" s="1100" t="str">
        <f ca="1">+B3&amp;"
("&amp;TEXT(H3,"0%, ")&amp;TEXT(C3,"0%, ")&amp;TEXT(I3,"0%)")</f>
        <v>Operating Capacity Factor
(95%, 90%, 86%)</v>
      </c>
      <c r="M101" s="1110">
        <f>ABS(K52-K53)+0.000000001</f>
        <v>2.3755985366283122E-2</v>
      </c>
      <c r="N101" s="1100">
        <f t="shared" ref="N101:N107" si="38">+RANK(M101,$M$101:$M$107)</f>
        <v>2</v>
      </c>
      <c r="O101" s="1107"/>
      <c r="P101" s="1096"/>
      <c r="Q101" s="1096"/>
      <c r="R101" s="1096"/>
      <c r="S101" s="1096"/>
      <c r="T101" s="1096"/>
      <c r="U101" s="1096"/>
      <c r="V101" s="1096"/>
      <c r="W101" s="1096"/>
      <c r="X101" s="1096"/>
      <c r="Y101" s="1096"/>
      <c r="Z101" s="1096"/>
      <c r="AA101" s="1096"/>
      <c r="AB101" s="1096"/>
      <c r="AC101" s="1096"/>
      <c r="AD101" s="1096"/>
      <c r="AE101" s="1096"/>
      <c r="AF101" s="1096"/>
      <c r="AG101" s="1096"/>
      <c r="AH101" s="1096"/>
      <c r="AI101" s="1096"/>
      <c r="AJ101" s="1096"/>
      <c r="AK101" s="1096"/>
      <c r="AL101" s="1096"/>
      <c r="AM101" s="1096"/>
      <c r="AN101" s="1096"/>
      <c r="AO101" s="1096"/>
      <c r="AP101" s="1096"/>
      <c r="AQ101" s="1096"/>
      <c r="AR101" s="1096"/>
      <c r="AS101" s="1096"/>
      <c r="AT101" s="1096"/>
      <c r="AU101" s="1096"/>
      <c r="AV101" s="1096"/>
      <c r="AW101" s="1096"/>
      <c r="AX101" s="1096"/>
      <c r="AY101" s="1096"/>
      <c r="AZ101" s="1096"/>
      <c r="BA101" s="1096"/>
      <c r="BB101" s="1096"/>
      <c r="BC101" s="1096"/>
      <c r="BD101" s="1096"/>
      <c r="BE101" s="1096"/>
      <c r="BF101" s="1096"/>
      <c r="BG101" s="1096"/>
      <c r="BH101" s="1096"/>
      <c r="BI101" s="1096"/>
      <c r="BJ101" s="1096"/>
      <c r="BK101" s="1096"/>
      <c r="BL101" s="1096"/>
      <c r="BM101" s="1096"/>
      <c r="BN101" s="1096"/>
      <c r="BO101" s="1096"/>
      <c r="BP101" s="1096"/>
      <c r="BQ101" s="1096"/>
      <c r="BR101" s="1096"/>
      <c r="BS101" s="1096"/>
      <c r="BT101" s="1096"/>
      <c r="BU101" s="1096"/>
    </row>
    <row r="102" spans="1:73" ht="13" x14ac:dyDescent="0.3">
      <c r="A102" s="1096"/>
      <c r="B102" s="1096"/>
      <c r="C102" s="1120">
        <v>2</v>
      </c>
      <c r="D102" s="1100" t="str">
        <f t="shared" ca="1" si="34"/>
        <v>Operating Capacity Factor
(95%, 90%, 86%)</v>
      </c>
      <c r="E102" s="1195">
        <f t="shared" ca="1" si="35"/>
        <v>1.1370562518156271</v>
      </c>
      <c r="F102" s="1195">
        <f t="shared" si="36"/>
        <v>1.1483403443896121</v>
      </c>
      <c r="G102" s="1195">
        <f t="shared" ca="1" si="37"/>
        <v>1.1608122361819102</v>
      </c>
      <c r="H102" s="1100">
        <f t="shared" ref="H102:H107" ca="1" si="39">+E102</f>
        <v>1.1370562518156271</v>
      </c>
      <c r="I102" s="1100">
        <f t="shared" ref="I102:I107" ca="1" si="40">+F102-E102</f>
        <v>1.1284092573984994E-2</v>
      </c>
      <c r="J102" s="1100">
        <f t="shared" ref="J102:J107" ca="1" si="41">+G102-F102</f>
        <v>1.2471891792298129E-2</v>
      </c>
      <c r="K102" s="1096"/>
      <c r="L102" s="1100" t="str">
        <f ca="1">+B4&amp;"
("&amp;TEXT(H4,"0,000")&amp;", "&amp;TEXT(C4,"0,000")&amp;", "&amp;TEXT(I4,"0,000")&amp;") "</f>
        <v xml:space="preserve">Plant Design Capacity (kg of H2/day)
(398,356, 379,387, 360,418) </v>
      </c>
      <c r="M102" s="1110">
        <f>+ABS(K54-K55)+0.000000002</f>
        <v>9.324258209889193E-3</v>
      </c>
      <c r="N102" s="1100">
        <f t="shared" si="38"/>
        <v>4</v>
      </c>
      <c r="O102" s="1107"/>
      <c r="P102" s="1096"/>
      <c r="Q102" s="1096"/>
      <c r="R102" s="1096"/>
      <c r="S102" s="1096"/>
      <c r="T102" s="1096"/>
      <c r="U102" s="1096"/>
      <c r="V102" s="1096"/>
      <c r="W102" s="1096"/>
      <c r="X102" s="1096"/>
      <c r="Y102" s="1096"/>
      <c r="Z102" s="1096"/>
      <c r="AA102" s="1096"/>
      <c r="AB102" s="1096"/>
      <c r="AC102" s="1096"/>
      <c r="AD102" s="1096"/>
      <c r="AE102" s="1096"/>
      <c r="AF102" s="1096"/>
      <c r="AG102" s="1096"/>
      <c r="AH102" s="1096"/>
      <c r="AI102" s="1096"/>
      <c r="AJ102" s="1096"/>
      <c r="AK102" s="1096"/>
      <c r="AL102" s="1096"/>
      <c r="AM102" s="1096"/>
      <c r="AN102" s="1096"/>
      <c r="AO102" s="1096"/>
      <c r="AP102" s="1096"/>
      <c r="AQ102" s="1096"/>
      <c r="AR102" s="1096"/>
      <c r="AS102" s="1096"/>
      <c r="AT102" s="1096"/>
      <c r="AU102" s="1096"/>
      <c r="AV102" s="1096"/>
      <c r="AW102" s="1096"/>
      <c r="AX102" s="1096"/>
      <c r="AY102" s="1096"/>
      <c r="AZ102" s="1096"/>
      <c r="BA102" s="1096"/>
      <c r="BB102" s="1096"/>
      <c r="BC102" s="1096"/>
      <c r="BD102" s="1096"/>
      <c r="BE102" s="1096"/>
      <c r="BF102" s="1096"/>
      <c r="BG102" s="1096"/>
      <c r="BH102" s="1096"/>
      <c r="BI102" s="1096"/>
      <c r="BJ102" s="1096"/>
      <c r="BK102" s="1096"/>
      <c r="BL102" s="1096"/>
      <c r="BM102" s="1096"/>
      <c r="BN102" s="1096"/>
      <c r="BO102" s="1096"/>
      <c r="BP102" s="1096"/>
      <c r="BQ102" s="1096"/>
      <c r="BR102" s="1096"/>
      <c r="BS102" s="1096"/>
      <c r="BT102" s="1096"/>
      <c r="BU102" s="1096"/>
    </row>
    <row r="103" spans="1:73" ht="13" x14ac:dyDescent="0.3">
      <c r="A103" s="1096"/>
      <c r="B103" s="1096"/>
      <c r="C103" s="1120">
        <v>3</v>
      </c>
      <c r="D103" s="1100" t="str">
        <f t="shared" ca="1" si="34"/>
        <v xml:space="preserve">Total Capital Investment
($236,073K, $248,498K, $260,923K) </v>
      </c>
      <c r="E103" s="1195">
        <f t="shared" ca="1" si="35"/>
        <v>1.1400161850943142</v>
      </c>
      <c r="F103" s="1195">
        <f t="shared" si="36"/>
        <v>1.1483403443896121</v>
      </c>
      <c r="G103" s="1195">
        <f t="shared" ca="1" si="37"/>
        <v>1.1566645036849095</v>
      </c>
      <c r="H103" s="1100">
        <f t="shared" ca="1" si="39"/>
        <v>1.1400161850943142</v>
      </c>
      <c r="I103" s="1100">
        <f t="shared" ca="1" si="40"/>
        <v>8.3241592952978394E-3</v>
      </c>
      <c r="J103" s="1100">
        <f t="shared" ca="1" si="41"/>
        <v>8.3241592952973953E-3</v>
      </c>
      <c r="K103" s="1096"/>
      <c r="L103" s="1100" t="str">
        <f ca="1">+B5&amp;"
("&amp;TEXT(H5,"0%, ")&amp;TEXT(C5,"0%, ")&amp;TEXT(I5,"0%)")</f>
        <v>After-tax Real IRR
(8%, 8%, 8%)</v>
      </c>
      <c r="M103" s="1110">
        <f>+ABS(K56-K57)+0.000000003</f>
        <v>4.4950721097631614E-3</v>
      </c>
      <c r="N103" s="1100">
        <f t="shared" si="38"/>
        <v>6</v>
      </c>
      <c r="O103" s="1107"/>
      <c r="P103" s="1096"/>
      <c r="Q103" s="1096"/>
      <c r="R103" s="1096"/>
      <c r="S103" s="1096"/>
      <c r="T103" s="1096"/>
      <c r="U103" s="1096"/>
      <c r="V103" s="1096"/>
      <c r="W103" s="1096"/>
      <c r="X103" s="1096"/>
      <c r="Y103" s="1096"/>
      <c r="Z103" s="1096"/>
      <c r="AA103" s="1096"/>
      <c r="AB103" s="1096"/>
      <c r="AC103" s="1096"/>
      <c r="AD103" s="1096"/>
      <c r="AE103" s="1096"/>
      <c r="AF103" s="1096"/>
      <c r="AG103" s="1096"/>
      <c r="AH103" s="1096"/>
      <c r="AI103" s="1096"/>
      <c r="AJ103" s="1096"/>
      <c r="AK103" s="1096"/>
      <c r="AL103" s="1096"/>
      <c r="AM103" s="1096"/>
      <c r="AN103" s="1096"/>
      <c r="AO103" s="1096"/>
      <c r="AP103" s="1096"/>
      <c r="AQ103" s="1096"/>
      <c r="AR103" s="1096"/>
      <c r="AS103" s="1096"/>
      <c r="AT103" s="1096"/>
      <c r="AU103" s="1096"/>
      <c r="AV103" s="1096"/>
      <c r="AW103" s="1096"/>
      <c r="AX103" s="1096"/>
      <c r="AY103" s="1096"/>
      <c r="AZ103" s="1096"/>
      <c r="BA103" s="1096"/>
      <c r="BB103" s="1096"/>
      <c r="BC103" s="1096"/>
      <c r="BD103" s="1096"/>
      <c r="BE103" s="1096"/>
      <c r="BF103" s="1096"/>
      <c r="BG103" s="1096"/>
      <c r="BH103" s="1096"/>
      <c r="BI103" s="1096"/>
      <c r="BJ103" s="1096"/>
      <c r="BK103" s="1096"/>
      <c r="BL103" s="1096"/>
      <c r="BM103" s="1096"/>
      <c r="BN103" s="1096"/>
      <c r="BO103" s="1096"/>
      <c r="BP103" s="1096"/>
      <c r="BQ103" s="1096"/>
      <c r="BR103" s="1096"/>
      <c r="BS103" s="1096"/>
      <c r="BT103" s="1096"/>
      <c r="BU103" s="1096"/>
    </row>
    <row r="104" spans="1:73" ht="13" x14ac:dyDescent="0.3">
      <c r="A104" s="1096"/>
      <c r="B104" s="1096"/>
      <c r="C104" s="1120">
        <v>4</v>
      </c>
      <c r="D104" s="1100" t="str">
        <f t="shared" ca="1" si="34"/>
        <v xml:space="preserve">Plant Design Capacity (kg of H2/day)
(398,356, 379,387, 360,418) </v>
      </c>
      <c r="E104" s="1195">
        <f t="shared" ca="1" si="35"/>
        <v>1.1438493361582245</v>
      </c>
      <c r="F104" s="1195">
        <f t="shared" si="36"/>
        <v>1.1483403443896121</v>
      </c>
      <c r="G104" s="1195">
        <f t="shared" ca="1" si="37"/>
        <v>1.1531735923681137</v>
      </c>
      <c r="H104" s="1100">
        <f t="shared" ca="1" si="39"/>
        <v>1.1438493361582245</v>
      </c>
      <c r="I104" s="1100">
        <f t="shared" ca="1" si="40"/>
        <v>4.4910082313875943E-3</v>
      </c>
      <c r="J104" s="1100">
        <f t="shared" ca="1" si="41"/>
        <v>4.833247978501598E-3</v>
      </c>
      <c r="K104" s="1096"/>
      <c r="L104" s="1100" t="str">
        <f>+B6&amp;"
("&amp;TEXT(H6,"0%, ")&amp;TEXT(C6,"0%, ")&amp;TEXT(I6,"0%)")</f>
        <v>Feedstock Consumption (% of baseline)
(95%, 100%, 105%)</v>
      </c>
      <c r="M104" s="1110">
        <f>+ABS(K58-K59)+0.000000004</f>
        <v>8.4282491004448512E-2</v>
      </c>
      <c r="N104" s="1100">
        <f t="shared" si="38"/>
        <v>1</v>
      </c>
      <c r="O104" s="1107"/>
      <c r="P104" s="1096"/>
      <c r="Q104" s="1096"/>
      <c r="R104" s="1096"/>
      <c r="S104" s="1096"/>
      <c r="T104" s="1096"/>
      <c r="U104" s="1096"/>
      <c r="V104" s="1096"/>
      <c r="W104" s="1096"/>
      <c r="X104" s="1096"/>
      <c r="Y104" s="1096"/>
      <c r="Z104" s="1096"/>
      <c r="AA104" s="1096"/>
      <c r="AB104" s="1096"/>
      <c r="AC104" s="1096"/>
      <c r="AD104" s="1096"/>
      <c r="AE104" s="1096"/>
      <c r="AF104" s="1096"/>
      <c r="AG104" s="1096"/>
      <c r="AH104" s="1096"/>
      <c r="AI104" s="1096"/>
      <c r="AJ104" s="1096"/>
      <c r="AK104" s="1096"/>
      <c r="AL104" s="1096"/>
      <c r="AM104" s="1096"/>
      <c r="AN104" s="1096"/>
      <c r="AO104" s="1096"/>
      <c r="AP104" s="1096"/>
      <c r="AQ104" s="1096"/>
      <c r="AR104" s="1096"/>
      <c r="AS104" s="1096"/>
      <c r="AT104" s="1096"/>
      <c r="AU104" s="1096"/>
      <c r="AV104" s="1096"/>
      <c r="AW104" s="1096"/>
      <c r="AX104" s="1096"/>
      <c r="AY104" s="1096"/>
      <c r="AZ104" s="1096"/>
      <c r="BA104" s="1096"/>
      <c r="BB104" s="1096"/>
      <c r="BC104" s="1096"/>
      <c r="BD104" s="1096"/>
      <c r="BE104" s="1096"/>
      <c r="BF104" s="1096"/>
      <c r="BG104" s="1096"/>
      <c r="BH104" s="1096"/>
      <c r="BI104" s="1096"/>
      <c r="BJ104" s="1096"/>
      <c r="BK104" s="1096"/>
      <c r="BL104" s="1096"/>
      <c r="BM104" s="1096"/>
      <c r="BN104" s="1096"/>
      <c r="BO104" s="1096"/>
      <c r="BP104" s="1096"/>
      <c r="BQ104" s="1096"/>
      <c r="BR104" s="1096"/>
      <c r="BS104" s="1096"/>
      <c r="BT104" s="1096"/>
      <c r="BU104" s="1096"/>
    </row>
    <row r="105" spans="1:73" ht="13" x14ac:dyDescent="0.3">
      <c r="A105" s="1096"/>
      <c r="B105" s="1096"/>
      <c r="C105" s="1120">
        <v>5</v>
      </c>
      <c r="D105" s="1100" t="str">
        <f t="shared" ca="1" si="34"/>
        <v xml:space="preserve">Total Fixed Operating Cost
($8,456K, $8,901K, $9,346K) </v>
      </c>
      <c r="E105" s="1195">
        <f t="shared" ca="1" si="35"/>
        <v>1.1446301147643239</v>
      </c>
      <c r="F105" s="1195">
        <f t="shared" si="36"/>
        <v>1.1483403443896121</v>
      </c>
      <c r="G105" s="1195">
        <f t="shared" ca="1" si="37"/>
        <v>1.152050574014901</v>
      </c>
      <c r="H105" s="1100">
        <f t="shared" ref="H105" ca="1" si="42">+E105</f>
        <v>1.1446301147643239</v>
      </c>
      <c r="I105" s="1100">
        <f t="shared" ref="I105" ca="1" si="43">+F105-E105</f>
        <v>3.7102296252882194E-3</v>
      </c>
      <c r="J105" s="1100">
        <f t="shared" ref="J105" ca="1" si="44">+G105-F105</f>
        <v>3.7102296252888856E-3</v>
      </c>
      <c r="K105" s="1096"/>
      <c r="L105" s="1100" t="str">
        <f>+B7&amp;"
("&amp;TEXT(H7,"0%, ")&amp;TEXT(C7,"0%, ")&amp;TEXT(I7,"0%)")</f>
        <v>Utilities Consumption (% of baseline)
(95%, 100%, 105%)</v>
      </c>
      <c r="M105" s="1110">
        <f>+ABS(K60-K61)+0.000000004</f>
        <v>4.3538706146876178E-3</v>
      </c>
      <c r="N105" s="1100">
        <f t="shared" si="38"/>
        <v>7</v>
      </c>
      <c r="O105" s="1107"/>
      <c r="P105" s="1096"/>
      <c r="Q105" s="1096"/>
      <c r="R105" s="1096"/>
      <c r="S105" s="1096"/>
      <c r="T105" s="1096"/>
      <c r="U105" s="1096"/>
      <c r="V105" s="1096"/>
      <c r="W105" s="1096"/>
      <c r="X105" s="1096"/>
      <c r="Y105" s="1096"/>
      <c r="Z105" s="1096"/>
      <c r="AA105" s="1096"/>
      <c r="AB105" s="1096"/>
      <c r="AC105" s="1096"/>
      <c r="AD105" s="1096"/>
      <c r="AE105" s="1096"/>
      <c r="AF105" s="1096"/>
      <c r="AG105" s="1096"/>
      <c r="AH105" s="1096"/>
      <c r="AI105" s="1096"/>
      <c r="AJ105" s="1096"/>
      <c r="AK105" s="1096"/>
      <c r="AL105" s="1096"/>
      <c r="AM105" s="1096"/>
      <c r="AN105" s="1096"/>
      <c r="AO105" s="1096"/>
      <c r="AP105" s="1096"/>
      <c r="AQ105" s="1096"/>
      <c r="AR105" s="1096"/>
      <c r="AS105" s="1096"/>
      <c r="AT105" s="1096"/>
      <c r="AU105" s="1096"/>
      <c r="AV105" s="1096"/>
      <c r="AW105" s="1096"/>
      <c r="AX105" s="1096"/>
      <c r="AY105" s="1096"/>
      <c r="AZ105" s="1096"/>
      <c r="BA105" s="1096"/>
      <c r="BB105" s="1096"/>
      <c r="BC105" s="1096"/>
      <c r="BD105" s="1096"/>
      <c r="BE105" s="1096"/>
      <c r="BF105" s="1096"/>
      <c r="BG105" s="1096"/>
      <c r="BH105" s="1096"/>
      <c r="BI105" s="1096"/>
      <c r="BJ105" s="1096"/>
      <c r="BK105" s="1096"/>
      <c r="BL105" s="1096"/>
      <c r="BM105" s="1096"/>
      <c r="BN105" s="1096"/>
      <c r="BO105" s="1096"/>
      <c r="BP105" s="1096"/>
      <c r="BQ105" s="1096"/>
      <c r="BR105" s="1096"/>
      <c r="BS105" s="1096"/>
      <c r="BT105" s="1096"/>
      <c r="BU105" s="1096"/>
    </row>
    <row r="106" spans="1:73" ht="13" x14ac:dyDescent="0.3">
      <c r="A106" s="1096"/>
      <c r="B106" s="1096"/>
      <c r="C106" s="1120">
        <v>6</v>
      </c>
      <c r="D106" s="1100" t="str">
        <f t="shared" ca="1" si="34"/>
        <v>After-tax Real IRR
(8%, 8%, 8%)</v>
      </c>
      <c r="E106" s="1195">
        <f t="shared" ca="1" si="35"/>
        <v>1.1461985173255709</v>
      </c>
      <c r="F106" s="1195">
        <f t="shared" si="36"/>
        <v>1.1483403443896121</v>
      </c>
      <c r="G106" s="1195">
        <f t="shared" ca="1" si="37"/>
        <v>1.150693586435334</v>
      </c>
      <c r="H106" s="1100">
        <f t="shared" ca="1" si="39"/>
        <v>1.1461985173255709</v>
      </c>
      <c r="I106" s="1100">
        <f t="shared" ca="1" si="40"/>
        <v>2.1418270640412018E-3</v>
      </c>
      <c r="J106" s="1100">
        <f t="shared" ca="1" si="41"/>
        <v>2.3532420457219594E-3</v>
      </c>
      <c r="K106" s="1096"/>
      <c r="L106" s="1100" t="str">
        <f ca="1">+B8&amp;"
("&amp;TEXT(H8/1000,"$0,000K")&amp;", "&amp;TEXT(C8/1000,"$0,000K")&amp;", "&amp;TEXT(I8/1000,"$0,000K")&amp;") "</f>
        <v xml:space="preserve">Total Capital Investment
($236,073K, $248,498K, $260,923K) </v>
      </c>
      <c r="M106" s="1110">
        <f>+ABS(K62-K63)+0.000000006</f>
        <v>1.6648324590595235E-2</v>
      </c>
      <c r="N106" s="1100">
        <f t="shared" si="38"/>
        <v>3</v>
      </c>
      <c r="O106" s="1107"/>
      <c r="P106" s="1096"/>
      <c r="Q106" s="1096"/>
      <c r="R106" s="1096"/>
      <c r="S106" s="1096"/>
      <c r="T106" s="1096"/>
      <c r="U106" s="1096"/>
      <c r="V106" s="1096"/>
      <c r="W106" s="1096"/>
      <c r="X106" s="1096"/>
      <c r="Y106" s="1096"/>
      <c r="Z106" s="1096"/>
      <c r="AA106" s="1096"/>
      <c r="AB106" s="1096"/>
      <c r="AC106" s="1096"/>
      <c r="AD106" s="1096"/>
      <c r="AE106" s="1096"/>
      <c r="AF106" s="1096"/>
      <c r="AG106" s="1096"/>
      <c r="AH106" s="1096"/>
      <c r="AI106" s="1096"/>
      <c r="AJ106" s="1096"/>
      <c r="AK106" s="1096"/>
      <c r="AL106" s="1096"/>
      <c r="AM106" s="1096"/>
      <c r="AN106" s="1096"/>
      <c r="AO106" s="1096"/>
      <c r="AP106" s="1096"/>
      <c r="AQ106" s="1096"/>
      <c r="AR106" s="1096"/>
      <c r="AS106" s="1096"/>
      <c r="AT106" s="1096"/>
      <c r="AU106" s="1096"/>
      <c r="AV106" s="1096"/>
      <c r="AW106" s="1096"/>
      <c r="AX106" s="1096"/>
      <c r="AY106" s="1096"/>
      <c r="AZ106" s="1096"/>
      <c r="BA106" s="1096"/>
      <c r="BB106" s="1096"/>
      <c r="BC106" s="1096"/>
      <c r="BD106" s="1096"/>
      <c r="BE106" s="1096"/>
      <c r="BF106" s="1096"/>
      <c r="BG106" s="1096"/>
      <c r="BH106" s="1096"/>
      <c r="BI106" s="1096"/>
      <c r="BJ106" s="1096"/>
      <c r="BK106" s="1096"/>
      <c r="BL106" s="1096"/>
      <c r="BM106" s="1096"/>
      <c r="BN106" s="1096"/>
      <c r="BO106" s="1096"/>
      <c r="BP106" s="1096"/>
      <c r="BQ106" s="1096"/>
      <c r="BR106" s="1096"/>
      <c r="BS106" s="1096"/>
      <c r="BT106" s="1096"/>
      <c r="BU106" s="1096"/>
    </row>
    <row r="107" spans="1:73" ht="13" x14ac:dyDescent="0.3">
      <c r="A107" s="1096"/>
      <c r="B107" s="1096"/>
      <c r="C107" s="1120">
        <v>7</v>
      </c>
      <c r="D107" s="1100" t="str">
        <f t="shared" ca="1" si="34"/>
        <v>Utilities Consumption (% of baseline)
(95%, 100%, 105%)</v>
      </c>
      <c r="E107" s="1195">
        <f t="shared" ca="1" si="35"/>
        <v>1.146163411082268</v>
      </c>
      <c r="F107" s="1195">
        <f t="shared" si="36"/>
        <v>1.1483403443896121</v>
      </c>
      <c r="G107" s="1195">
        <f t="shared" ca="1" si="37"/>
        <v>1.1505172776969557</v>
      </c>
      <c r="H107" s="1100">
        <f t="shared" ca="1" si="39"/>
        <v>1.146163411082268</v>
      </c>
      <c r="I107" s="1100">
        <f t="shared" ca="1" si="40"/>
        <v>2.1769333073440311E-3</v>
      </c>
      <c r="J107" s="1100">
        <f t="shared" ca="1" si="41"/>
        <v>2.176933307343587E-3</v>
      </c>
      <c r="K107" s="1096"/>
      <c r="L107" s="1100" t="str">
        <f ca="1">+B9&amp;"
("&amp;TEXT(H9/1000,"$0,000K")&amp;", "&amp;TEXT(C9/1000,"$0,000K")&amp;", "&amp;TEXT(I9/1000,"$0,000K")&amp;") "</f>
        <v xml:space="preserve">Total Fixed Operating Cost
($8,456K, $8,901K, $9,346K) </v>
      </c>
      <c r="M107" s="1110">
        <f>+ABS(K64-K65)+0.00000007</f>
        <v>7.4205292505771046E-3</v>
      </c>
      <c r="N107" s="1100">
        <f t="shared" si="38"/>
        <v>5</v>
      </c>
      <c r="O107" s="1107"/>
      <c r="P107" s="1096"/>
      <c r="Q107" s="1096"/>
      <c r="R107" s="1096"/>
      <c r="S107" s="1096"/>
      <c r="T107" s="1096"/>
      <c r="U107" s="1096"/>
      <c r="V107" s="1096"/>
      <c r="W107" s="1096"/>
      <c r="X107" s="1096"/>
      <c r="Y107" s="1096"/>
      <c r="Z107" s="1096"/>
      <c r="AA107" s="1096"/>
      <c r="AB107" s="1096"/>
      <c r="AC107" s="1096"/>
      <c r="AD107" s="1096"/>
      <c r="AE107" s="1096"/>
      <c r="AF107" s="1096"/>
      <c r="AG107" s="1096"/>
      <c r="AH107" s="1096"/>
      <c r="AI107" s="1096"/>
      <c r="AJ107" s="1096"/>
      <c r="AK107" s="1096"/>
      <c r="AL107" s="1096"/>
      <c r="AM107" s="1096"/>
      <c r="AN107" s="1096"/>
      <c r="AO107" s="1096"/>
      <c r="AP107" s="1096"/>
      <c r="AQ107" s="1096"/>
      <c r="AR107" s="1096"/>
      <c r="AS107" s="1096"/>
      <c r="AT107" s="1096"/>
      <c r="AU107" s="1096"/>
      <c r="AV107" s="1096"/>
      <c r="AW107" s="1096"/>
      <c r="AX107" s="1096"/>
      <c r="AY107" s="1096"/>
      <c r="AZ107" s="1096"/>
      <c r="BA107" s="1096"/>
      <c r="BB107" s="1096"/>
      <c r="BC107" s="1096"/>
      <c r="BD107" s="1096"/>
      <c r="BE107" s="1096"/>
      <c r="BF107" s="1096"/>
      <c r="BG107" s="1096"/>
      <c r="BH107" s="1096"/>
      <c r="BI107" s="1096"/>
      <c r="BJ107" s="1096"/>
      <c r="BK107" s="1096"/>
      <c r="BL107" s="1096"/>
      <c r="BM107" s="1096"/>
      <c r="BN107" s="1096"/>
      <c r="BO107" s="1096"/>
      <c r="BP107" s="1096"/>
      <c r="BQ107" s="1096"/>
      <c r="BR107" s="1096"/>
      <c r="BS107" s="1096"/>
      <c r="BT107" s="1096"/>
      <c r="BU107" s="1096"/>
    </row>
    <row r="108" spans="1:73" x14ac:dyDescent="0.25">
      <c r="A108" s="1096"/>
      <c r="B108" s="1096"/>
      <c r="C108" s="1096"/>
      <c r="D108" s="1096"/>
      <c r="E108" s="1096"/>
      <c r="F108" s="1096"/>
      <c r="G108" s="1096"/>
      <c r="H108" s="1096"/>
      <c r="I108" s="1096"/>
      <c r="J108" s="1096"/>
      <c r="K108" s="1096"/>
      <c r="L108" s="1096"/>
      <c r="M108" s="1096"/>
      <c r="N108" s="1096"/>
      <c r="O108" s="1096"/>
      <c r="P108" s="1096"/>
      <c r="Q108" s="1096"/>
      <c r="R108" s="1096"/>
      <c r="S108" s="1096"/>
      <c r="T108" s="1096"/>
      <c r="U108" s="1096"/>
      <c r="V108" s="1096"/>
      <c r="W108" s="1096"/>
      <c r="X108" s="1096"/>
      <c r="Y108" s="1096"/>
      <c r="Z108" s="1096"/>
      <c r="AA108" s="1096"/>
      <c r="AB108" s="1096"/>
      <c r="AC108" s="1096"/>
      <c r="AD108" s="1096"/>
      <c r="AE108" s="1096"/>
      <c r="AF108" s="1096"/>
      <c r="AG108" s="1096"/>
      <c r="AH108" s="1096"/>
      <c r="AI108" s="1096"/>
      <c r="AJ108" s="1096"/>
      <c r="AK108" s="1096"/>
      <c r="AL108" s="1096"/>
      <c r="AM108" s="1096"/>
      <c r="AN108" s="1096"/>
      <c r="AO108" s="1096"/>
      <c r="AP108" s="1096"/>
      <c r="AQ108" s="1096"/>
      <c r="AR108" s="1096"/>
      <c r="AS108" s="1096"/>
      <c r="AT108" s="1096"/>
      <c r="AU108" s="1096"/>
      <c r="AV108" s="1096"/>
      <c r="AW108" s="1096"/>
      <c r="AX108" s="1096"/>
      <c r="AY108" s="1096"/>
      <c r="AZ108" s="1096"/>
      <c r="BA108" s="1096"/>
      <c r="BB108" s="1096"/>
      <c r="BC108" s="1096"/>
      <c r="BD108" s="1096"/>
      <c r="BE108" s="1096"/>
      <c r="BF108" s="1096"/>
      <c r="BG108" s="1096"/>
      <c r="BH108" s="1096"/>
      <c r="BI108" s="1096"/>
      <c r="BJ108" s="1096"/>
      <c r="BK108" s="1096"/>
      <c r="BL108" s="1096"/>
      <c r="BM108" s="1096"/>
      <c r="BN108" s="1096"/>
      <c r="BO108" s="1096"/>
      <c r="BP108" s="1096"/>
      <c r="BQ108" s="1096"/>
      <c r="BR108" s="1096"/>
      <c r="BS108" s="1096"/>
      <c r="BT108" s="1096"/>
      <c r="BU108" s="1096"/>
    </row>
    <row r="109" spans="1:73" x14ac:dyDescent="0.25">
      <c r="A109" s="1096"/>
      <c r="B109" s="1096"/>
      <c r="C109" s="1096"/>
      <c r="D109" s="1096"/>
      <c r="E109" s="1096"/>
      <c r="F109" s="1096"/>
      <c r="G109" s="1096"/>
      <c r="H109" s="1096"/>
      <c r="I109" s="1096"/>
      <c r="J109" s="1096"/>
      <c r="K109" s="1096"/>
      <c r="L109" s="1096"/>
      <c r="M109" s="1096"/>
      <c r="N109" s="1096"/>
      <c r="O109" s="1096"/>
      <c r="P109" s="1096"/>
      <c r="Q109" s="1096"/>
      <c r="R109" s="1096"/>
      <c r="S109" s="1096"/>
      <c r="T109" s="1096"/>
      <c r="U109" s="1096"/>
      <c r="V109" s="1096"/>
      <c r="W109" s="1096"/>
      <c r="X109" s="1096"/>
      <c r="Y109" s="1096"/>
      <c r="Z109" s="1096"/>
      <c r="AA109" s="1096"/>
      <c r="AB109" s="1096"/>
      <c r="AC109" s="1096"/>
      <c r="AD109" s="1096"/>
      <c r="AE109" s="1096"/>
      <c r="AF109" s="1096"/>
      <c r="AG109" s="1096"/>
      <c r="AH109" s="1096"/>
      <c r="AI109" s="1096"/>
      <c r="AJ109" s="1096"/>
      <c r="AK109" s="1096"/>
      <c r="AL109" s="1096"/>
      <c r="AM109" s="1096"/>
      <c r="AN109" s="1096"/>
      <c r="AO109" s="1096"/>
      <c r="AP109" s="1096"/>
      <c r="AQ109" s="1096"/>
      <c r="AR109" s="1096"/>
      <c r="AS109" s="1096"/>
      <c r="AT109" s="1096"/>
      <c r="AU109" s="1096"/>
      <c r="AV109" s="1096"/>
      <c r="AW109" s="1096"/>
      <c r="AX109" s="1096"/>
      <c r="AY109" s="1096"/>
      <c r="AZ109" s="1096"/>
      <c r="BA109" s="1096"/>
      <c r="BB109" s="1096"/>
      <c r="BC109" s="1096"/>
      <c r="BD109" s="1096"/>
      <c r="BE109" s="1096"/>
      <c r="BF109" s="1096"/>
      <c r="BG109" s="1096"/>
      <c r="BH109" s="1096"/>
      <c r="BI109" s="1096"/>
      <c r="BJ109" s="1096"/>
      <c r="BK109" s="1096"/>
      <c r="BL109" s="1096"/>
      <c r="BM109" s="1096"/>
      <c r="BN109" s="1096"/>
      <c r="BO109" s="1096"/>
      <c r="BP109" s="1096"/>
      <c r="BQ109" s="1096"/>
      <c r="BR109" s="1096"/>
      <c r="BS109" s="1096"/>
      <c r="BT109" s="1096"/>
      <c r="BU109" s="1096"/>
    </row>
    <row r="110" spans="1:73" ht="52" x14ac:dyDescent="0.3">
      <c r="A110" s="1096"/>
      <c r="B110" s="1098" t="s">
        <v>1161</v>
      </c>
      <c r="C110" s="1119" t="s">
        <v>1148</v>
      </c>
      <c r="D110" s="1107" t="str">
        <f t="shared" ref="D110:G110" si="45">+D76</f>
        <v>Chart titles</v>
      </c>
      <c r="E110" s="1107" t="s">
        <v>1181</v>
      </c>
      <c r="F110" s="1107" t="s">
        <v>1182</v>
      </c>
      <c r="G110" s="1107" t="str">
        <f t="shared" si="45"/>
        <v>Salvage Value</v>
      </c>
      <c r="H110" s="1107" t="str">
        <f t="shared" ref="H110:S110" si="46">+H76</f>
        <v>Initial Equity Depreciable Capital</v>
      </c>
      <c r="I110" s="1107" t="str">
        <f t="shared" si="46"/>
        <v>Yearly Replacement Costs</v>
      </c>
      <c r="J110" s="1107" t="str">
        <f t="shared" si="46"/>
        <v>Cash for Working Capital Reserve</v>
      </c>
      <c r="K110" s="1107" t="str">
        <f t="shared" si="46"/>
        <v>Other Non-Depreciable Capital Costs</v>
      </c>
      <c r="L110" s="1107" t="str">
        <f t="shared" si="46"/>
        <v>Decommissioning Costs</v>
      </c>
      <c r="M110" s="1107" t="str">
        <f t="shared" si="46"/>
        <v>Fixed Operating Cost</v>
      </c>
      <c r="N110" s="1107" t="str">
        <f t="shared" si="46"/>
        <v>Feedstock Cost</v>
      </c>
      <c r="O110" s="1107" t="str">
        <f t="shared" si="46"/>
        <v>Other Raw Material Cost</v>
      </c>
      <c r="P110" s="1107" t="str">
        <f t="shared" si="46"/>
        <v>Other Variable Operating Costs</v>
      </c>
      <c r="Q110" s="1107" t="str">
        <f t="shared" si="46"/>
        <v>Debt Interest</v>
      </c>
      <c r="R110" s="1107" t="str">
        <f t="shared" si="46"/>
        <v>Taxes</v>
      </c>
      <c r="S110" s="1107" t="str">
        <f t="shared" si="46"/>
        <v>Principal Payment</v>
      </c>
      <c r="T110" s="1096"/>
      <c r="U110" s="1096"/>
      <c r="V110" s="1096"/>
      <c r="W110" s="1096"/>
      <c r="X110" s="1096"/>
      <c r="Y110" s="1096"/>
      <c r="Z110" s="1096"/>
      <c r="AA110" s="1096"/>
      <c r="AB110" s="1096"/>
      <c r="AC110" s="1096"/>
      <c r="AD110" s="1096"/>
      <c r="AE110" s="1096"/>
      <c r="AF110" s="1096"/>
      <c r="AG110" s="1096"/>
      <c r="AH110" s="1096"/>
      <c r="AI110" s="1096"/>
      <c r="AJ110" s="1096"/>
      <c r="AK110" s="1096"/>
      <c r="AL110" s="1096"/>
      <c r="AM110" s="1096"/>
      <c r="AN110" s="1096"/>
      <c r="AO110" s="1096"/>
      <c r="AP110" s="1096"/>
      <c r="AQ110" s="1096"/>
      <c r="AR110" s="1096"/>
      <c r="AS110" s="1096"/>
      <c r="AT110" s="1096"/>
      <c r="AU110" s="1096"/>
      <c r="AV110" s="1096"/>
      <c r="AW110" s="1096"/>
      <c r="AX110" s="1096"/>
      <c r="AY110" s="1096"/>
      <c r="AZ110" s="1096"/>
      <c r="BA110" s="1096"/>
      <c r="BB110" s="1096"/>
      <c r="BC110" s="1096"/>
      <c r="BD110" s="1096"/>
      <c r="BE110" s="1096"/>
      <c r="BF110" s="1096"/>
      <c r="BG110" s="1096"/>
      <c r="BH110" s="1096"/>
      <c r="BI110" s="1096"/>
      <c r="BJ110" s="1096"/>
      <c r="BK110" s="1096"/>
      <c r="BL110" s="1096"/>
      <c r="BM110" s="1096"/>
      <c r="BN110" s="1096"/>
      <c r="BO110" s="1096"/>
      <c r="BP110" s="1096"/>
      <c r="BQ110" s="1096"/>
      <c r="BR110" s="1096"/>
      <c r="BS110" s="1096"/>
      <c r="BT110" s="1096"/>
      <c r="BU110" s="1096"/>
    </row>
    <row r="111" spans="1:73" x14ac:dyDescent="0.25">
      <c r="A111" s="1096"/>
      <c r="B111" s="1096"/>
      <c r="C111" s="1120">
        <v>1</v>
      </c>
      <c r="D111" s="1099" t="s">
        <v>1180</v>
      </c>
      <c r="E111" s="1113">
        <f ca="1">OFFSET(E$76,MATCH($C111,$N$101:$N$107,0)*3-1,0)</f>
        <v>1.1483403443896121</v>
      </c>
      <c r="F111" s="1113">
        <f ca="1">OFFSET(F$76,MATCH($C111,$N$101:$N$107,0)*3-1,0)</f>
        <v>0</v>
      </c>
      <c r="G111" s="1113">
        <f ca="1">OFFSET(G$76,MATCH($C111,$N$101:$N$107,0)*3-1,0)</f>
        <v>8.00769901059783E-4</v>
      </c>
      <c r="H111" s="1100"/>
      <c r="I111" s="1100"/>
      <c r="J111" s="1100"/>
      <c r="K111" s="1100"/>
      <c r="L111" s="1100"/>
      <c r="M111" s="1100"/>
      <c r="N111" s="1100"/>
      <c r="O111" s="1100"/>
      <c r="P111" s="1100"/>
      <c r="Q111" s="1100"/>
      <c r="R111" s="1100"/>
      <c r="S111" s="1100"/>
      <c r="T111" s="1096"/>
      <c r="U111" s="1096"/>
      <c r="V111" s="1096"/>
      <c r="W111" s="1096"/>
      <c r="X111" s="1096"/>
      <c r="Y111" s="1096"/>
      <c r="Z111" s="1096"/>
      <c r="AA111" s="1096"/>
      <c r="AB111" s="1096"/>
      <c r="AC111" s="1096"/>
      <c r="AD111" s="1096"/>
      <c r="AE111" s="1096"/>
      <c r="AF111" s="1096"/>
      <c r="AG111" s="1096"/>
      <c r="AH111" s="1096"/>
      <c r="AI111" s="1096"/>
      <c r="AJ111" s="1096"/>
      <c r="AK111" s="1096"/>
      <c r="AL111" s="1096"/>
      <c r="AM111" s="1096"/>
      <c r="AN111" s="1096"/>
      <c r="AO111" s="1096"/>
      <c r="AP111" s="1096"/>
      <c r="AQ111" s="1096"/>
      <c r="AR111" s="1096"/>
      <c r="AS111" s="1096"/>
      <c r="AT111" s="1096"/>
      <c r="AU111" s="1096"/>
      <c r="AV111" s="1096"/>
      <c r="AW111" s="1096"/>
      <c r="AX111" s="1096"/>
      <c r="AY111" s="1096"/>
      <c r="AZ111" s="1096"/>
      <c r="BA111" s="1096"/>
      <c r="BB111" s="1096"/>
      <c r="BC111" s="1096"/>
      <c r="BD111" s="1096"/>
      <c r="BE111" s="1096"/>
      <c r="BF111" s="1096"/>
      <c r="BG111" s="1096"/>
      <c r="BH111" s="1096"/>
      <c r="BI111" s="1096"/>
      <c r="BJ111" s="1096"/>
      <c r="BK111" s="1096"/>
      <c r="BL111" s="1096"/>
      <c r="BM111" s="1096"/>
      <c r="BN111" s="1096"/>
      <c r="BO111" s="1096"/>
      <c r="BP111" s="1096"/>
      <c r="BQ111" s="1096"/>
      <c r="BR111" s="1096"/>
      <c r="BS111" s="1096"/>
      <c r="BT111" s="1096"/>
      <c r="BU111" s="1096"/>
    </row>
    <row r="112" spans="1:73" ht="13" x14ac:dyDescent="0.3">
      <c r="A112" s="1096"/>
      <c r="B112" s="1098"/>
      <c r="C112" s="1201"/>
      <c r="D112" s="1202"/>
      <c r="E112" s="1203"/>
      <c r="F112" s="1203"/>
      <c r="G112" s="1203"/>
      <c r="H112" s="1113">
        <f t="shared" ref="H112:S112" ca="1" si="47">OFFSET(H$76,MATCH($C111,$N$101:$N$107,0)*3-1,0)</f>
        <v>7.368822645034942E-2</v>
      </c>
      <c r="I112" s="1113">
        <f t="shared" ca="1" si="47"/>
        <v>1.0349261193574029E-2</v>
      </c>
      <c r="J112" s="1113">
        <f t="shared" ca="1" si="47"/>
        <v>1.3532384735662329E-2</v>
      </c>
      <c r="K112" s="1113">
        <f t="shared" ca="1" si="47"/>
        <v>4.493979107675744E-4</v>
      </c>
      <c r="L112" s="1113">
        <f t="shared" ca="1" si="47"/>
        <v>7.9899639237872733E-4</v>
      </c>
      <c r="M112" s="1113">
        <f t="shared" ca="1" si="47"/>
        <v>7.2865532650274817E-2</v>
      </c>
      <c r="N112" s="1113">
        <f t="shared" ca="1" si="47"/>
        <v>0.82763314128326659</v>
      </c>
      <c r="O112" s="1113">
        <f t="shared" ca="1" si="47"/>
        <v>0</v>
      </c>
      <c r="P112" s="1113">
        <f t="shared" ca="1" si="47"/>
        <v>9.2095669300620797E-2</v>
      </c>
      <c r="Q112" s="1113">
        <f t="shared" ca="1" si="47"/>
        <v>4.8408155517525683E-2</v>
      </c>
      <c r="R112" s="1113">
        <f t="shared" ca="1" si="47"/>
        <v>7.1457440652860586E-3</v>
      </c>
      <c r="S112" s="1113">
        <f t="shared" ca="1" si="47"/>
        <v>2.1746047909649352E-3</v>
      </c>
      <c r="T112" s="1096"/>
      <c r="U112" s="1096"/>
      <c r="V112" s="1096"/>
      <c r="W112" s="1096"/>
      <c r="X112" s="1096"/>
      <c r="Y112" s="1096"/>
      <c r="Z112" s="1096"/>
      <c r="AA112" s="1096"/>
      <c r="AB112" s="1096"/>
      <c r="AC112" s="1096"/>
      <c r="AD112" s="1096"/>
      <c r="AE112" s="1096"/>
      <c r="AF112" s="1096"/>
      <c r="AG112" s="1096"/>
      <c r="AH112" s="1096"/>
      <c r="AI112" s="1096"/>
      <c r="AJ112" s="1096"/>
      <c r="AK112" s="1096"/>
      <c r="AL112" s="1096"/>
      <c r="AM112" s="1096"/>
      <c r="AN112" s="1096"/>
      <c r="AO112" s="1096"/>
      <c r="AP112" s="1096"/>
      <c r="AQ112" s="1096"/>
      <c r="AR112" s="1096"/>
      <c r="AS112" s="1096"/>
      <c r="AT112" s="1096"/>
      <c r="AU112" s="1096"/>
      <c r="AV112" s="1096"/>
      <c r="AW112" s="1096"/>
      <c r="AX112" s="1096"/>
      <c r="AY112" s="1096"/>
      <c r="AZ112" s="1096"/>
      <c r="BA112" s="1096"/>
      <c r="BB112" s="1096"/>
      <c r="BC112" s="1096"/>
      <c r="BD112" s="1096"/>
      <c r="BE112" s="1096"/>
      <c r="BF112" s="1096"/>
      <c r="BG112" s="1096"/>
      <c r="BH112" s="1096"/>
      <c r="BI112" s="1096"/>
      <c r="BJ112" s="1096"/>
      <c r="BK112" s="1096"/>
      <c r="BL112" s="1096"/>
      <c r="BM112" s="1096"/>
      <c r="BN112" s="1096"/>
      <c r="BO112" s="1096"/>
      <c r="BP112" s="1096"/>
      <c r="BQ112" s="1096"/>
      <c r="BR112" s="1096"/>
      <c r="BS112" s="1096"/>
      <c r="BT112" s="1096"/>
      <c r="BU112" s="1096"/>
    </row>
    <row r="113" spans="1:73" ht="13" x14ac:dyDescent="0.3">
      <c r="A113" s="1096"/>
      <c r="B113" s="1098"/>
      <c r="C113" s="1201"/>
      <c r="D113" s="1202"/>
      <c r="E113" s="1203"/>
      <c r="F113" s="1203"/>
      <c r="G113" s="1203"/>
      <c r="H113" s="1113"/>
      <c r="I113" s="1113"/>
      <c r="J113" s="1113"/>
      <c r="K113" s="1113"/>
      <c r="L113" s="1113"/>
      <c r="M113" s="1113"/>
      <c r="N113" s="1113"/>
      <c r="O113" s="1113"/>
      <c r="P113" s="1113"/>
      <c r="Q113" s="1113"/>
      <c r="R113" s="1113"/>
      <c r="S113" s="1113"/>
      <c r="T113" s="1096"/>
      <c r="U113" s="1096"/>
      <c r="V113" s="1096"/>
      <c r="W113" s="1096"/>
      <c r="X113" s="1096"/>
      <c r="Y113" s="1096"/>
      <c r="Z113" s="1096"/>
      <c r="AA113" s="1096"/>
      <c r="AB113" s="1096"/>
      <c r="AC113" s="1096"/>
      <c r="AD113" s="1096"/>
      <c r="AE113" s="1096"/>
      <c r="AF113" s="1096"/>
      <c r="AG113" s="1096"/>
      <c r="AH113" s="1096"/>
      <c r="AI113" s="1096"/>
      <c r="AJ113" s="1096"/>
      <c r="AK113" s="1096"/>
      <c r="AL113" s="1096"/>
      <c r="AM113" s="1096"/>
      <c r="AN113" s="1096"/>
      <c r="AO113" s="1096"/>
      <c r="AP113" s="1096"/>
      <c r="AQ113" s="1096"/>
      <c r="AR113" s="1096"/>
      <c r="AS113" s="1096"/>
      <c r="AT113" s="1096"/>
      <c r="AU113" s="1096"/>
      <c r="AV113" s="1096"/>
      <c r="AW113" s="1096"/>
      <c r="AX113" s="1096"/>
      <c r="AY113" s="1096"/>
      <c r="AZ113" s="1096"/>
      <c r="BA113" s="1096"/>
      <c r="BB113" s="1096"/>
      <c r="BC113" s="1096"/>
      <c r="BD113" s="1096"/>
      <c r="BE113" s="1096"/>
      <c r="BF113" s="1096"/>
      <c r="BG113" s="1096"/>
      <c r="BH113" s="1096"/>
      <c r="BI113" s="1096"/>
      <c r="BJ113" s="1096"/>
      <c r="BK113" s="1096"/>
      <c r="BL113" s="1096"/>
      <c r="BM113" s="1096"/>
      <c r="BN113" s="1096"/>
      <c r="BO113" s="1096"/>
      <c r="BP113" s="1096"/>
      <c r="BQ113" s="1096"/>
      <c r="BR113" s="1096"/>
      <c r="BS113" s="1096"/>
      <c r="BT113" s="1096"/>
      <c r="BU113" s="1096"/>
    </row>
    <row r="114" spans="1:73" ht="13" x14ac:dyDescent="0.3">
      <c r="A114" s="1096"/>
      <c r="B114" s="1098"/>
      <c r="C114" s="1201"/>
      <c r="D114" s="1203"/>
      <c r="E114" s="1203"/>
      <c r="F114" s="1203"/>
      <c r="G114" s="1203"/>
      <c r="H114" s="1203"/>
      <c r="I114" s="1203"/>
      <c r="J114" s="1203"/>
      <c r="K114" s="1203"/>
      <c r="L114" s="1203"/>
      <c r="M114" s="1203"/>
      <c r="N114" s="1203"/>
      <c r="O114" s="1203"/>
      <c r="P114" s="1203"/>
      <c r="Q114" s="1203"/>
      <c r="R114" s="1203"/>
      <c r="S114" s="1203"/>
      <c r="T114" s="1096"/>
      <c r="U114" s="1096"/>
      <c r="V114" s="1096"/>
      <c r="W114" s="1096"/>
      <c r="X114" s="1096"/>
      <c r="Y114" s="1096"/>
      <c r="Z114" s="1096"/>
      <c r="AA114" s="1096"/>
      <c r="AB114" s="1096"/>
      <c r="AC114" s="1096"/>
      <c r="AD114" s="1096"/>
      <c r="AE114" s="1096"/>
      <c r="AF114" s="1096"/>
      <c r="AG114" s="1096"/>
      <c r="AH114" s="1096"/>
      <c r="AI114" s="1096"/>
      <c r="AJ114" s="1096"/>
      <c r="AK114" s="1096"/>
      <c r="AL114" s="1096"/>
      <c r="AM114" s="1096"/>
      <c r="AN114" s="1096"/>
      <c r="AO114" s="1096"/>
      <c r="AP114" s="1096"/>
      <c r="AQ114" s="1096"/>
      <c r="AR114" s="1096"/>
      <c r="AS114" s="1096"/>
      <c r="AT114" s="1096"/>
      <c r="AU114" s="1096"/>
      <c r="AV114" s="1096"/>
      <c r="AW114" s="1096"/>
      <c r="AX114" s="1096"/>
      <c r="AY114" s="1096"/>
      <c r="AZ114" s="1096"/>
      <c r="BA114" s="1096"/>
      <c r="BB114" s="1096"/>
      <c r="BC114" s="1096"/>
      <c r="BD114" s="1096"/>
      <c r="BE114" s="1096"/>
      <c r="BF114" s="1096"/>
      <c r="BG114" s="1096"/>
      <c r="BH114" s="1096"/>
      <c r="BI114" s="1096"/>
      <c r="BJ114" s="1096"/>
      <c r="BK114" s="1096"/>
      <c r="BL114" s="1096"/>
      <c r="BM114" s="1096"/>
      <c r="BN114" s="1096"/>
      <c r="BO114" s="1096"/>
      <c r="BP114" s="1096"/>
      <c r="BQ114" s="1096"/>
      <c r="BR114" s="1096"/>
      <c r="BS114" s="1096"/>
      <c r="BT114" s="1096"/>
      <c r="BU114" s="1096"/>
    </row>
    <row r="115" spans="1:73" ht="13" x14ac:dyDescent="0.3">
      <c r="A115" s="1096"/>
      <c r="B115" s="1098"/>
      <c r="C115" s="1120">
        <v>1</v>
      </c>
      <c r="D115" s="1100" t="str">
        <f t="shared" ref="D115:G115" ca="1" si="48">OFFSET(D$76,MATCH($C115,$N$101:$N$107,0)*3-2,0)</f>
        <v>Feedstock Consumption (% of baseline) = 95%</v>
      </c>
      <c r="E115" s="1113">
        <f t="shared" ca="1" si="48"/>
        <v>1.1061991008873879</v>
      </c>
      <c r="F115" s="1113">
        <f t="shared" ca="1" si="48"/>
        <v>0</v>
      </c>
      <c r="G115" s="1113">
        <f t="shared" ca="1" si="48"/>
        <v>8.00769901059783E-4</v>
      </c>
      <c r="H115" s="1203"/>
      <c r="I115" s="1203"/>
      <c r="J115" s="1203"/>
      <c r="K115" s="1203"/>
      <c r="L115" s="1203"/>
      <c r="M115" s="1203"/>
      <c r="N115" s="1203"/>
      <c r="O115" s="1203"/>
      <c r="P115" s="1203"/>
      <c r="Q115" s="1203"/>
      <c r="R115" s="1203"/>
      <c r="S115" s="1203"/>
      <c r="T115" s="1096"/>
      <c r="U115" s="1096"/>
      <c r="V115" s="1096"/>
      <c r="W115" s="1096"/>
      <c r="X115" s="1096"/>
      <c r="Y115" s="1096"/>
      <c r="Z115" s="1096"/>
      <c r="AA115" s="1096"/>
      <c r="AB115" s="1096"/>
      <c r="AC115" s="1096"/>
      <c r="AD115" s="1096"/>
      <c r="AE115" s="1096"/>
      <c r="AF115" s="1096"/>
      <c r="AG115" s="1096"/>
      <c r="AH115" s="1096"/>
      <c r="AI115" s="1096"/>
      <c r="AJ115" s="1096"/>
      <c r="AK115" s="1096"/>
      <c r="AL115" s="1096"/>
      <c r="AM115" s="1096"/>
      <c r="AN115" s="1096"/>
      <c r="AO115" s="1096"/>
      <c r="AP115" s="1096"/>
      <c r="AQ115" s="1096"/>
      <c r="AR115" s="1096"/>
      <c r="AS115" s="1096"/>
      <c r="AT115" s="1096"/>
      <c r="AU115" s="1096"/>
      <c r="AV115" s="1096"/>
      <c r="AW115" s="1096"/>
      <c r="AX115" s="1096"/>
      <c r="AY115" s="1096"/>
      <c r="AZ115" s="1096"/>
      <c r="BA115" s="1096"/>
      <c r="BB115" s="1096"/>
      <c r="BC115" s="1096"/>
      <c r="BD115" s="1096"/>
      <c r="BE115" s="1096"/>
      <c r="BF115" s="1096"/>
      <c r="BG115" s="1096"/>
      <c r="BH115" s="1096"/>
      <c r="BI115" s="1096"/>
      <c r="BJ115" s="1096"/>
      <c r="BK115" s="1096"/>
      <c r="BL115" s="1096"/>
      <c r="BM115" s="1096"/>
      <c r="BN115" s="1096"/>
      <c r="BO115" s="1096"/>
      <c r="BP115" s="1096"/>
      <c r="BQ115" s="1096"/>
      <c r="BR115" s="1096"/>
      <c r="BS115" s="1096"/>
      <c r="BT115" s="1096"/>
      <c r="BU115" s="1096"/>
    </row>
    <row r="116" spans="1:73" ht="13" x14ac:dyDescent="0.3">
      <c r="A116" s="1096"/>
      <c r="B116" s="1098"/>
      <c r="C116" s="1100"/>
      <c r="D116" s="1100"/>
      <c r="E116" s="1100"/>
      <c r="F116" s="1100"/>
      <c r="G116" s="1100"/>
      <c r="H116" s="1113">
        <f t="shared" ref="H116:S116" ca="1" si="49">OFFSET(H$76,MATCH($C115,$N$101:$N$107,0)*3-2,0)</f>
        <v>7.368822645034942E-2</v>
      </c>
      <c r="I116" s="1113">
        <f t="shared" ca="1" si="49"/>
        <v>1.0349261193574029E-2</v>
      </c>
      <c r="J116" s="1113">
        <f t="shared" ca="1" si="49"/>
        <v>1.2968315846758406E-2</v>
      </c>
      <c r="K116" s="1113">
        <f t="shared" ca="1" si="49"/>
        <v>4.493979107675744E-4</v>
      </c>
      <c r="L116" s="1113">
        <f t="shared" ca="1" si="49"/>
        <v>7.9899639237872733E-4</v>
      </c>
      <c r="M116" s="1113">
        <f t="shared" ca="1" si="49"/>
        <v>7.2865532650274817E-2</v>
      </c>
      <c r="N116" s="1113">
        <f t="shared" ca="1" si="49"/>
        <v>0.78625148421910351</v>
      </c>
      <c r="O116" s="1113">
        <f t="shared" ca="1" si="49"/>
        <v>0</v>
      </c>
      <c r="P116" s="1113">
        <f t="shared" ca="1" si="49"/>
        <v>9.2095669300620797E-2</v>
      </c>
      <c r="Q116" s="1113">
        <f t="shared" ca="1" si="49"/>
        <v>4.8408155517525683E-2</v>
      </c>
      <c r="R116" s="1113">
        <f t="shared" ca="1" si="49"/>
        <v>6.9502265161292282E-3</v>
      </c>
      <c r="S116" s="1113">
        <f t="shared" ca="1" si="49"/>
        <v>2.1746047909649352E-3</v>
      </c>
      <c r="T116" s="1096"/>
      <c r="U116" s="1096"/>
      <c r="V116" s="1096"/>
      <c r="W116" s="1096"/>
      <c r="X116" s="1096"/>
      <c r="Y116" s="1096"/>
      <c r="Z116" s="1096"/>
      <c r="AA116" s="1096"/>
      <c r="AB116" s="1096"/>
      <c r="AC116" s="1096"/>
      <c r="AD116" s="1096"/>
      <c r="AE116" s="1096"/>
      <c r="AF116" s="1096"/>
      <c r="AG116" s="1096"/>
      <c r="AH116" s="1096"/>
      <c r="AI116" s="1096"/>
      <c r="AJ116" s="1096"/>
      <c r="AK116" s="1096"/>
      <c r="AL116" s="1096"/>
      <c r="AM116" s="1096"/>
      <c r="AN116" s="1096"/>
      <c r="AO116" s="1096"/>
      <c r="AP116" s="1096"/>
      <c r="AQ116" s="1096"/>
      <c r="AR116" s="1096"/>
      <c r="AS116" s="1096"/>
      <c r="AT116" s="1096"/>
      <c r="AU116" s="1096"/>
      <c r="AV116" s="1096"/>
      <c r="AW116" s="1096"/>
      <c r="AX116" s="1096"/>
      <c r="AY116" s="1096"/>
      <c r="AZ116" s="1096"/>
      <c r="BA116" s="1096"/>
      <c r="BB116" s="1096"/>
      <c r="BC116" s="1096"/>
      <c r="BD116" s="1096"/>
      <c r="BE116" s="1096"/>
      <c r="BF116" s="1096"/>
      <c r="BG116" s="1096"/>
      <c r="BH116" s="1096"/>
      <c r="BI116" s="1096"/>
      <c r="BJ116" s="1096"/>
      <c r="BK116" s="1096"/>
      <c r="BL116" s="1096"/>
      <c r="BM116" s="1096"/>
      <c r="BN116" s="1096"/>
      <c r="BO116" s="1096"/>
      <c r="BP116" s="1096"/>
      <c r="BQ116" s="1096"/>
      <c r="BR116" s="1096"/>
      <c r="BS116" s="1096"/>
      <c r="BT116" s="1096"/>
      <c r="BU116" s="1096"/>
    </row>
    <row r="117" spans="1:73" ht="13" x14ac:dyDescent="0.3">
      <c r="A117" s="1096"/>
      <c r="B117" s="1098"/>
      <c r="C117" s="1120">
        <v>1</v>
      </c>
      <c r="D117" s="1100" t="str">
        <f t="shared" ref="D117:G117" ca="1" si="50">OFFSET(D$76,MATCH($C117,$N$101:$N$107,0)*3,0)</f>
        <v>Feedstock Consumption (% of baseline) = 105%</v>
      </c>
      <c r="E117" s="1113">
        <f t="shared" ca="1" si="50"/>
        <v>1.1904815878918364</v>
      </c>
      <c r="F117" s="1113">
        <f t="shared" ca="1" si="50"/>
        <v>0</v>
      </c>
      <c r="G117" s="1113">
        <f t="shared" ca="1" si="50"/>
        <v>8.00769901059783E-4</v>
      </c>
      <c r="H117" s="1100"/>
      <c r="I117" s="1100"/>
      <c r="J117" s="1100"/>
      <c r="K117" s="1100"/>
      <c r="L117" s="1100"/>
      <c r="M117" s="1100"/>
      <c r="N117" s="1100"/>
      <c r="O117" s="1100"/>
      <c r="P117" s="1100"/>
      <c r="Q117" s="1100"/>
      <c r="R117" s="1100"/>
      <c r="S117" s="1100"/>
      <c r="T117" s="1096"/>
      <c r="U117" s="1096"/>
      <c r="V117" s="1096"/>
      <c r="W117" s="1096"/>
      <c r="X117" s="1096"/>
      <c r="Y117" s="1096"/>
      <c r="Z117" s="1096"/>
      <c r="AA117" s="1096"/>
      <c r="AB117" s="1096"/>
      <c r="AC117" s="1096"/>
      <c r="AD117" s="1096"/>
      <c r="AE117" s="1096"/>
      <c r="AF117" s="1096"/>
      <c r="AG117" s="1096"/>
      <c r="AH117" s="1096"/>
      <c r="AI117" s="1096"/>
      <c r="AJ117" s="1096"/>
      <c r="AK117" s="1096"/>
      <c r="AL117" s="1096"/>
      <c r="AM117" s="1096"/>
      <c r="AN117" s="1096"/>
      <c r="AO117" s="1096"/>
      <c r="AP117" s="1096"/>
      <c r="AQ117" s="1096"/>
      <c r="AR117" s="1096"/>
      <c r="AS117" s="1096"/>
      <c r="AT117" s="1096"/>
      <c r="AU117" s="1096"/>
      <c r="AV117" s="1096"/>
      <c r="AW117" s="1096"/>
      <c r="AX117" s="1096"/>
      <c r="AY117" s="1096"/>
      <c r="AZ117" s="1096"/>
      <c r="BA117" s="1096"/>
      <c r="BB117" s="1096"/>
      <c r="BC117" s="1096"/>
      <c r="BD117" s="1096"/>
      <c r="BE117" s="1096"/>
      <c r="BF117" s="1096"/>
      <c r="BG117" s="1096"/>
      <c r="BH117" s="1096"/>
      <c r="BI117" s="1096"/>
      <c r="BJ117" s="1096"/>
      <c r="BK117" s="1096"/>
      <c r="BL117" s="1096"/>
      <c r="BM117" s="1096"/>
      <c r="BN117" s="1096"/>
      <c r="BO117" s="1096"/>
      <c r="BP117" s="1096"/>
      <c r="BQ117" s="1096"/>
      <c r="BR117" s="1096"/>
      <c r="BS117" s="1096"/>
      <c r="BT117" s="1096"/>
      <c r="BU117" s="1096"/>
    </row>
    <row r="118" spans="1:73" ht="13" x14ac:dyDescent="0.3">
      <c r="A118" s="1096"/>
      <c r="B118" s="1098"/>
      <c r="C118" s="1120"/>
      <c r="D118" s="1100"/>
      <c r="E118" s="1113"/>
      <c r="F118" s="1113"/>
      <c r="G118" s="1113"/>
      <c r="H118" s="1113">
        <f t="shared" ref="H118:S118" ca="1" si="51">OFFSET(H$76,MATCH($C117,$N$101:$N$107,0)*3,0)</f>
        <v>7.368822645034942E-2</v>
      </c>
      <c r="I118" s="1113">
        <f t="shared" ca="1" si="51"/>
        <v>1.0349261193574029E-2</v>
      </c>
      <c r="J118" s="1113">
        <f t="shared" ca="1" si="51"/>
        <v>1.4096453624566256E-2</v>
      </c>
      <c r="K118" s="1113">
        <f t="shared" ca="1" si="51"/>
        <v>4.493979107675744E-4</v>
      </c>
      <c r="L118" s="1113">
        <f t="shared" ca="1" si="51"/>
        <v>7.9899639237872733E-4</v>
      </c>
      <c r="M118" s="1113">
        <f t="shared" ca="1" si="51"/>
        <v>7.2865532650274817E-2</v>
      </c>
      <c r="N118" s="1113">
        <f t="shared" ca="1" si="51"/>
        <v>0.86901479834742978</v>
      </c>
      <c r="O118" s="1113">
        <f t="shared" ca="1" si="51"/>
        <v>0</v>
      </c>
      <c r="P118" s="1113">
        <f t="shared" ca="1" si="51"/>
        <v>9.2095669300620797E-2</v>
      </c>
      <c r="Q118" s="1113">
        <f t="shared" ca="1" si="51"/>
        <v>4.8408155517525683E-2</v>
      </c>
      <c r="R118" s="1113">
        <f t="shared" ca="1" si="51"/>
        <v>7.341261614442823E-3</v>
      </c>
      <c r="S118" s="1113">
        <f t="shared" ca="1" si="51"/>
        <v>2.1746047909649352E-3</v>
      </c>
      <c r="T118" s="1096"/>
      <c r="U118" s="1096"/>
      <c r="V118" s="1096"/>
      <c r="W118" s="1096"/>
      <c r="X118" s="1096"/>
      <c r="Y118" s="1096"/>
      <c r="Z118" s="1096"/>
      <c r="AA118" s="1096"/>
      <c r="AB118" s="1096"/>
      <c r="AC118" s="1096"/>
      <c r="AD118" s="1096"/>
      <c r="AE118" s="1096"/>
      <c r="AF118" s="1096"/>
      <c r="AG118" s="1096"/>
      <c r="AH118" s="1096"/>
      <c r="AI118" s="1096"/>
      <c r="AJ118" s="1096"/>
      <c r="AK118" s="1096"/>
      <c r="AL118" s="1096"/>
      <c r="AM118" s="1096"/>
      <c r="AN118" s="1096"/>
      <c r="AO118" s="1096"/>
      <c r="AP118" s="1096"/>
      <c r="AQ118" s="1096"/>
      <c r="AR118" s="1096"/>
      <c r="AS118" s="1096"/>
      <c r="AT118" s="1096"/>
      <c r="AU118" s="1096"/>
      <c r="AV118" s="1096"/>
      <c r="AW118" s="1096"/>
      <c r="AX118" s="1096"/>
      <c r="AY118" s="1096"/>
      <c r="AZ118" s="1096"/>
      <c r="BA118" s="1096"/>
      <c r="BB118" s="1096"/>
      <c r="BC118" s="1096"/>
      <c r="BD118" s="1096"/>
      <c r="BE118" s="1096"/>
      <c r="BF118" s="1096"/>
      <c r="BG118" s="1096"/>
      <c r="BH118" s="1096"/>
      <c r="BI118" s="1096"/>
      <c r="BJ118" s="1096"/>
      <c r="BK118" s="1096"/>
      <c r="BL118" s="1096"/>
      <c r="BM118" s="1096"/>
      <c r="BN118" s="1096"/>
      <c r="BO118" s="1096"/>
      <c r="BP118" s="1096"/>
      <c r="BQ118" s="1096"/>
      <c r="BR118" s="1096"/>
      <c r="BS118" s="1096"/>
      <c r="BT118" s="1096"/>
      <c r="BU118" s="1096"/>
    </row>
    <row r="119" spans="1:73" ht="13" x14ac:dyDescent="0.3">
      <c r="A119" s="1096"/>
      <c r="B119" s="1098"/>
      <c r="C119" s="1120"/>
      <c r="D119" s="1100"/>
      <c r="E119" s="1113"/>
      <c r="F119" s="1113"/>
      <c r="G119" s="1113"/>
      <c r="H119" s="1113"/>
      <c r="I119" s="1113"/>
      <c r="J119" s="1113"/>
      <c r="K119" s="1113"/>
      <c r="L119" s="1113"/>
      <c r="M119" s="1113"/>
      <c r="N119" s="1113"/>
      <c r="O119" s="1113"/>
      <c r="P119" s="1113"/>
      <c r="Q119" s="1113"/>
      <c r="R119" s="1113"/>
      <c r="S119" s="1113"/>
      <c r="T119" s="1096"/>
      <c r="U119" s="1096"/>
      <c r="V119" s="1096"/>
      <c r="W119" s="1096"/>
      <c r="X119" s="1096"/>
      <c r="Y119" s="1096"/>
      <c r="Z119" s="1096"/>
      <c r="AA119" s="1096"/>
      <c r="AB119" s="1096"/>
      <c r="AC119" s="1096"/>
      <c r="AD119" s="1096"/>
      <c r="AE119" s="1096"/>
      <c r="AF119" s="1096"/>
      <c r="AG119" s="1096"/>
      <c r="AH119" s="1096"/>
      <c r="AI119" s="1096"/>
      <c r="AJ119" s="1096"/>
      <c r="AK119" s="1096"/>
      <c r="AL119" s="1096"/>
      <c r="AM119" s="1096"/>
      <c r="AN119" s="1096"/>
      <c r="AO119" s="1096"/>
      <c r="AP119" s="1096"/>
      <c r="AQ119" s="1096"/>
      <c r="AR119" s="1096"/>
      <c r="AS119" s="1096"/>
      <c r="AT119" s="1096"/>
      <c r="AU119" s="1096"/>
      <c r="AV119" s="1096"/>
      <c r="AW119" s="1096"/>
      <c r="AX119" s="1096"/>
      <c r="AY119" s="1096"/>
      <c r="AZ119" s="1096"/>
      <c r="BA119" s="1096"/>
      <c r="BB119" s="1096"/>
      <c r="BC119" s="1096"/>
      <c r="BD119" s="1096"/>
      <c r="BE119" s="1096"/>
      <c r="BF119" s="1096"/>
      <c r="BG119" s="1096"/>
      <c r="BH119" s="1096"/>
      <c r="BI119" s="1096"/>
      <c r="BJ119" s="1096"/>
      <c r="BK119" s="1096"/>
      <c r="BL119" s="1096"/>
      <c r="BM119" s="1096"/>
      <c r="BN119" s="1096"/>
      <c r="BO119" s="1096"/>
      <c r="BP119" s="1096"/>
      <c r="BQ119" s="1096"/>
      <c r="BR119" s="1096"/>
      <c r="BS119" s="1096"/>
      <c r="BT119" s="1096"/>
      <c r="BU119" s="1096"/>
    </row>
    <row r="120" spans="1:73" x14ac:dyDescent="0.25">
      <c r="A120" s="1096"/>
      <c r="B120" s="1096"/>
      <c r="C120" s="1120">
        <v>2</v>
      </c>
      <c r="D120" s="1100" t="str">
        <f t="shared" ref="D120:G120" ca="1" si="52">OFFSET(D$76,MATCH($C120,$N$101:$N$107,0)*3-2,0)</f>
        <v>Operating Capacity Factor = 94.5%</v>
      </c>
      <c r="E120" s="1113">
        <f t="shared" ca="1" si="52"/>
        <v>1.1370562518156271</v>
      </c>
      <c r="F120" s="1113">
        <f t="shared" ca="1" si="52"/>
        <v>0</v>
      </c>
      <c r="G120" s="1113">
        <f t="shared" ca="1" si="52"/>
        <v>7.6263800100931725E-4</v>
      </c>
      <c r="H120" s="1113"/>
      <c r="I120" s="1113"/>
      <c r="J120" s="1113"/>
      <c r="K120" s="1113"/>
      <c r="L120" s="1113"/>
      <c r="M120" s="1113"/>
      <c r="N120" s="1113"/>
      <c r="O120" s="1113"/>
      <c r="P120" s="1113"/>
      <c r="Q120" s="1113"/>
      <c r="R120" s="1113"/>
      <c r="S120" s="1113"/>
      <c r="T120" s="1096"/>
      <c r="U120" s="1096"/>
      <c r="V120" s="1096"/>
      <c r="W120" s="1096"/>
      <c r="X120" s="1096"/>
      <c r="Y120" s="1096"/>
      <c r="Z120" s="1096"/>
      <c r="AA120" s="1096"/>
      <c r="AB120" s="1096"/>
      <c r="AC120" s="1096"/>
      <c r="AD120" s="1096"/>
      <c r="AE120" s="1096"/>
      <c r="AF120" s="1096"/>
      <c r="AG120" s="1096"/>
      <c r="AH120" s="1096"/>
      <c r="AI120" s="1096"/>
      <c r="AJ120" s="1096"/>
      <c r="AK120" s="1096"/>
      <c r="AL120" s="1096"/>
      <c r="AM120" s="1096"/>
      <c r="AN120" s="1096"/>
      <c r="AO120" s="1096"/>
      <c r="AP120" s="1096"/>
      <c r="AQ120" s="1096"/>
      <c r="AR120" s="1096"/>
      <c r="AS120" s="1096"/>
      <c r="AT120" s="1096"/>
      <c r="AU120" s="1096"/>
      <c r="AV120" s="1096"/>
      <c r="AW120" s="1096"/>
      <c r="AX120" s="1096"/>
      <c r="AY120" s="1096"/>
      <c r="AZ120" s="1096"/>
      <c r="BA120" s="1096"/>
      <c r="BB120" s="1096"/>
      <c r="BC120" s="1096"/>
      <c r="BD120" s="1096"/>
      <c r="BE120" s="1096"/>
      <c r="BF120" s="1096"/>
      <c r="BG120" s="1096"/>
      <c r="BH120" s="1096"/>
      <c r="BI120" s="1096"/>
      <c r="BJ120" s="1096"/>
      <c r="BK120" s="1096"/>
      <c r="BL120" s="1096"/>
      <c r="BM120" s="1096"/>
      <c r="BN120" s="1096"/>
      <c r="BO120" s="1096"/>
      <c r="BP120" s="1096"/>
      <c r="BQ120" s="1096"/>
      <c r="BR120" s="1096"/>
      <c r="BS120" s="1096"/>
      <c r="BT120" s="1096"/>
      <c r="BU120" s="1096"/>
    </row>
    <row r="121" spans="1:73" x14ac:dyDescent="0.25">
      <c r="A121" s="1096"/>
      <c r="B121" s="1096"/>
      <c r="C121" s="1120"/>
      <c r="D121" s="1100"/>
      <c r="E121" s="1113"/>
      <c r="F121" s="1113"/>
      <c r="G121" s="1113"/>
      <c r="H121" s="1113">
        <f t="shared" ref="H121:S121" ca="1" si="53">OFFSET(H$76,MATCH($C120,$N$101:$N$107,0)*3-2,0)</f>
        <v>7.0179263286047067E-2</v>
      </c>
      <c r="I121" s="1113">
        <f t="shared" ca="1" si="53"/>
        <v>9.8564392319752652E-3</v>
      </c>
      <c r="J121" s="1113">
        <f t="shared" ca="1" si="53"/>
        <v>1.3468927852688519E-2</v>
      </c>
      <c r="K121" s="1113">
        <f t="shared" ca="1" si="53"/>
        <v>4.279980102548327E-4</v>
      </c>
      <c r="L121" s="1113">
        <f t="shared" ca="1" si="53"/>
        <v>7.6094894512259738E-4</v>
      </c>
      <c r="M121" s="1113">
        <f t="shared" ca="1" si="53"/>
        <v>6.9395745381214097E-2</v>
      </c>
      <c r="N121" s="1113">
        <f t="shared" ca="1" si="53"/>
        <v>0.82763314128326637</v>
      </c>
      <c r="O121" s="1113">
        <f t="shared" ca="1" si="53"/>
        <v>0</v>
      </c>
      <c r="P121" s="1113">
        <f t="shared" ca="1" si="53"/>
        <v>9.0915531609155012E-2</v>
      </c>
      <c r="Q121" s="1113">
        <f t="shared" ca="1" si="53"/>
        <v>4.6103005254786361E-2</v>
      </c>
      <c r="R121" s="1113">
        <f t="shared" ca="1" si="53"/>
        <v>7.006836780254655E-3</v>
      </c>
      <c r="S121" s="1113">
        <f t="shared" ca="1" si="53"/>
        <v>2.0710521818713668E-3</v>
      </c>
      <c r="T121" s="1096"/>
      <c r="U121" s="1096"/>
      <c r="V121" s="1096"/>
      <c r="W121" s="1096"/>
      <c r="X121" s="1096"/>
      <c r="Y121" s="1096"/>
      <c r="Z121" s="1096"/>
      <c r="AA121" s="1096"/>
      <c r="AB121" s="1096"/>
      <c r="AC121" s="1096"/>
      <c r="AD121" s="1096"/>
      <c r="AE121" s="1096"/>
      <c r="AF121" s="1096"/>
      <c r="AG121" s="1096"/>
      <c r="AH121" s="1096"/>
      <c r="AI121" s="1096"/>
      <c r="AJ121" s="1096"/>
      <c r="AK121" s="1096"/>
      <c r="AL121" s="1096"/>
      <c r="AM121" s="1096"/>
      <c r="AN121" s="1096"/>
      <c r="AO121" s="1096"/>
      <c r="AP121" s="1096"/>
      <c r="AQ121" s="1096"/>
      <c r="AR121" s="1096"/>
      <c r="AS121" s="1096"/>
      <c r="AT121" s="1096"/>
      <c r="AU121" s="1096"/>
      <c r="AV121" s="1096"/>
      <c r="AW121" s="1096"/>
      <c r="AX121" s="1096"/>
      <c r="AY121" s="1096"/>
      <c r="AZ121" s="1096"/>
      <c r="BA121" s="1096"/>
      <c r="BB121" s="1096"/>
      <c r="BC121" s="1096"/>
      <c r="BD121" s="1096"/>
      <c r="BE121" s="1096"/>
      <c r="BF121" s="1096"/>
      <c r="BG121" s="1096"/>
      <c r="BH121" s="1096"/>
      <c r="BI121" s="1096"/>
      <c r="BJ121" s="1096"/>
      <c r="BK121" s="1096"/>
      <c r="BL121" s="1096"/>
      <c r="BM121" s="1096"/>
      <c r="BN121" s="1096"/>
      <c r="BO121" s="1096"/>
      <c r="BP121" s="1096"/>
      <c r="BQ121" s="1096"/>
      <c r="BR121" s="1096"/>
      <c r="BS121" s="1096"/>
      <c r="BT121" s="1096"/>
      <c r="BU121" s="1096"/>
    </row>
    <row r="122" spans="1:73" x14ac:dyDescent="0.25">
      <c r="A122" s="1096"/>
      <c r="B122" s="1096"/>
      <c r="C122" s="1120">
        <v>2</v>
      </c>
      <c r="D122" s="1100" t="str">
        <f t="shared" ref="D122:G122" ca="1" si="54">OFFSET(D$76,MATCH($C122,$N$101:$N$107,0)*3,0)</f>
        <v>Operating Capacity Factor = 85.5%</v>
      </c>
      <c r="E122" s="1113">
        <f t="shared" ca="1" si="54"/>
        <v>1.1608122361819102</v>
      </c>
      <c r="F122" s="1113">
        <f t="shared" ca="1" si="54"/>
        <v>0</v>
      </c>
      <c r="G122" s="1113">
        <f t="shared" ca="1" si="54"/>
        <v>8.4291568532608729E-4</v>
      </c>
      <c r="H122" s="1113"/>
      <c r="I122" s="1113"/>
      <c r="J122" s="1113"/>
      <c r="K122" s="1113"/>
      <c r="L122" s="1113"/>
      <c r="M122" s="1113"/>
      <c r="N122" s="1113"/>
      <c r="O122" s="1113"/>
      <c r="P122" s="1113"/>
      <c r="Q122" s="1113"/>
      <c r="R122" s="1113"/>
      <c r="S122" s="1113"/>
      <c r="T122" s="1096"/>
      <c r="U122" s="1096"/>
      <c r="V122" s="1096"/>
      <c r="W122" s="1096"/>
      <c r="X122" s="1096"/>
      <c r="Y122" s="1096"/>
      <c r="Z122" s="1096"/>
      <c r="AA122" s="1096"/>
      <c r="AB122" s="1096"/>
      <c r="AC122" s="1096"/>
      <c r="AD122" s="1096"/>
      <c r="AE122" s="1096"/>
      <c r="AF122" s="1096"/>
      <c r="AG122" s="1096"/>
      <c r="AH122" s="1096"/>
      <c r="AI122" s="1096"/>
      <c r="AJ122" s="1096"/>
      <c r="AK122" s="1096"/>
      <c r="AL122" s="1096"/>
      <c r="AM122" s="1096"/>
      <c r="AN122" s="1096"/>
      <c r="AO122" s="1096"/>
      <c r="AP122" s="1096"/>
      <c r="AQ122" s="1096"/>
      <c r="AR122" s="1096"/>
      <c r="AS122" s="1096"/>
      <c r="AT122" s="1096"/>
      <c r="AU122" s="1096"/>
      <c r="AV122" s="1096"/>
      <c r="AW122" s="1096"/>
      <c r="AX122" s="1096"/>
      <c r="AY122" s="1096"/>
      <c r="AZ122" s="1096"/>
      <c r="BA122" s="1096"/>
      <c r="BB122" s="1096"/>
      <c r="BC122" s="1096"/>
      <c r="BD122" s="1096"/>
      <c r="BE122" s="1096"/>
      <c r="BF122" s="1096"/>
      <c r="BG122" s="1096"/>
      <c r="BH122" s="1096"/>
      <c r="BI122" s="1096"/>
      <c r="BJ122" s="1096"/>
      <c r="BK122" s="1096"/>
      <c r="BL122" s="1096"/>
      <c r="BM122" s="1096"/>
      <c r="BN122" s="1096"/>
      <c r="BO122" s="1096"/>
      <c r="BP122" s="1096"/>
      <c r="BQ122" s="1096"/>
      <c r="BR122" s="1096"/>
      <c r="BS122" s="1096"/>
      <c r="BT122" s="1096"/>
      <c r="BU122" s="1096"/>
    </row>
    <row r="123" spans="1:73" x14ac:dyDescent="0.25">
      <c r="A123" s="1096"/>
      <c r="B123" s="1096"/>
      <c r="C123" s="1120"/>
      <c r="D123" s="1100"/>
      <c r="E123" s="1113"/>
      <c r="F123" s="1113"/>
      <c r="G123" s="1113"/>
      <c r="H123" s="1113">
        <f t="shared" ref="H123:S123" ca="1" si="55">OFFSET(H$76,MATCH($C122,$N$101:$N$107,0)*3,0)</f>
        <v>7.7566554158262538E-2</v>
      </c>
      <c r="I123" s="1113">
        <f t="shared" ca="1" si="55"/>
        <v>1.0893959151130556E-2</v>
      </c>
      <c r="J123" s="1113">
        <f t="shared" ca="1" si="55"/>
        <v>1.3602521290528117E-2</v>
      </c>
      <c r="K123" s="1113">
        <f t="shared" ca="1" si="55"/>
        <v>4.7305043238692041E-4</v>
      </c>
      <c r="L123" s="1113">
        <f t="shared" ca="1" si="55"/>
        <v>8.4104883408287075E-4</v>
      </c>
      <c r="M123" s="1113">
        <f t="shared" ca="1" si="55"/>
        <v>7.6700560684499805E-2</v>
      </c>
      <c r="N123" s="1113">
        <f t="shared" ca="1" si="55"/>
        <v>0.8276331412832667</v>
      </c>
      <c r="O123" s="1113">
        <f t="shared" ca="1" si="55"/>
        <v>0</v>
      </c>
      <c r="P123" s="1113">
        <f t="shared" ca="1" si="55"/>
        <v>9.3400032012240827E-2</v>
      </c>
      <c r="Q123" s="1113">
        <f t="shared" ca="1" si="55"/>
        <v>5.0955953176342814E-2</v>
      </c>
      <c r="R123" s="1113">
        <f t="shared" ca="1" si="55"/>
        <v>7.2992731697943342E-3</v>
      </c>
      <c r="S123" s="1113">
        <f t="shared" ca="1" si="55"/>
        <v>2.2890576746999311E-3</v>
      </c>
      <c r="T123" s="1096"/>
      <c r="U123" s="1096"/>
      <c r="V123" s="1096"/>
      <c r="W123" s="1096"/>
      <c r="X123" s="1096"/>
      <c r="Y123" s="1096"/>
      <c r="Z123" s="1096"/>
      <c r="AA123" s="1096"/>
      <c r="AB123" s="1096"/>
      <c r="AC123" s="1096"/>
      <c r="AD123" s="1096"/>
      <c r="AE123" s="1096"/>
      <c r="AF123" s="1096"/>
      <c r="AG123" s="1096"/>
      <c r="AH123" s="1096"/>
      <c r="AI123" s="1096"/>
      <c r="AJ123" s="1096"/>
      <c r="AK123" s="1096"/>
      <c r="AL123" s="1096"/>
      <c r="AM123" s="1096"/>
      <c r="AN123" s="1096"/>
      <c r="AO123" s="1096"/>
      <c r="AP123" s="1096"/>
      <c r="AQ123" s="1096"/>
      <c r="AR123" s="1096"/>
      <c r="AS123" s="1096"/>
      <c r="AT123" s="1096"/>
      <c r="AU123" s="1096"/>
      <c r="AV123" s="1096"/>
      <c r="AW123" s="1096"/>
      <c r="AX123" s="1096"/>
      <c r="AY123" s="1096"/>
      <c r="AZ123" s="1096"/>
      <c r="BA123" s="1096"/>
      <c r="BB123" s="1096"/>
      <c r="BC123" s="1096"/>
      <c r="BD123" s="1096"/>
      <c r="BE123" s="1096"/>
      <c r="BF123" s="1096"/>
      <c r="BG123" s="1096"/>
      <c r="BH123" s="1096"/>
      <c r="BI123" s="1096"/>
      <c r="BJ123" s="1096"/>
      <c r="BK123" s="1096"/>
      <c r="BL123" s="1096"/>
      <c r="BM123" s="1096"/>
      <c r="BN123" s="1096"/>
      <c r="BO123" s="1096"/>
      <c r="BP123" s="1096"/>
      <c r="BQ123" s="1096"/>
      <c r="BR123" s="1096"/>
      <c r="BS123" s="1096"/>
      <c r="BT123" s="1096"/>
      <c r="BU123" s="1096"/>
    </row>
    <row r="124" spans="1:73" x14ac:dyDescent="0.25">
      <c r="A124" s="1096"/>
      <c r="B124" s="1096"/>
      <c r="C124" s="1120"/>
      <c r="D124" s="1100"/>
      <c r="E124" s="1113"/>
      <c r="F124" s="1113"/>
      <c r="G124" s="1113"/>
      <c r="H124" s="1113"/>
      <c r="I124" s="1113"/>
      <c r="J124" s="1113"/>
      <c r="K124" s="1113"/>
      <c r="L124" s="1113"/>
      <c r="M124" s="1113"/>
      <c r="N124" s="1113"/>
      <c r="O124" s="1113"/>
      <c r="P124" s="1113"/>
      <c r="Q124" s="1113"/>
      <c r="R124" s="1113"/>
      <c r="S124" s="1113"/>
      <c r="T124" s="1096"/>
      <c r="U124" s="1096"/>
      <c r="V124" s="1096"/>
      <c r="W124" s="1096"/>
      <c r="X124" s="1096"/>
      <c r="Y124" s="1096"/>
      <c r="Z124" s="1096"/>
      <c r="AA124" s="1096"/>
      <c r="AB124" s="1096"/>
      <c r="AC124" s="1096"/>
      <c r="AD124" s="1096"/>
      <c r="AE124" s="1096"/>
      <c r="AF124" s="1096"/>
      <c r="AG124" s="1096"/>
      <c r="AH124" s="1096"/>
      <c r="AI124" s="1096"/>
      <c r="AJ124" s="1096"/>
      <c r="AK124" s="1096"/>
      <c r="AL124" s="1096"/>
      <c r="AM124" s="1096"/>
      <c r="AN124" s="1096"/>
      <c r="AO124" s="1096"/>
      <c r="AP124" s="1096"/>
      <c r="AQ124" s="1096"/>
      <c r="AR124" s="1096"/>
      <c r="AS124" s="1096"/>
      <c r="AT124" s="1096"/>
      <c r="AU124" s="1096"/>
      <c r="AV124" s="1096"/>
      <c r="AW124" s="1096"/>
      <c r="AX124" s="1096"/>
      <c r="AY124" s="1096"/>
      <c r="AZ124" s="1096"/>
      <c r="BA124" s="1096"/>
      <c r="BB124" s="1096"/>
      <c r="BC124" s="1096"/>
      <c r="BD124" s="1096"/>
      <c r="BE124" s="1096"/>
      <c r="BF124" s="1096"/>
      <c r="BG124" s="1096"/>
      <c r="BH124" s="1096"/>
      <c r="BI124" s="1096"/>
      <c r="BJ124" s="1096"/>
      <c r="BK124" s="1096"/>
      <c r="BL124" s="1096"/>
      <c r="BM124" s="1096"/>
      <c r="BN124" s="1096"/>
      <c r="BO124" s="1096"/>
      <c r="BP124" s="1096"/>
      <c r="BQ124" s="1096"/>
      <c r="BR124" s="1096"/>
      <c r="BS124" s="1096"/>
      <c r="BT124" s="1096"/>
      <c r="BU124" s="1096"/>
    </row>
    <row r="125" spans="1:73" x14ac:dyDescent="0.25">
      <c r="A125" s="1096"/>
      <c r="B125" s="1096"/>
      <c r="C125" s="1120">
        <v>3</v>
      </c>
      <c r="D125" s="1100" t="str">
        <f t="shared" ref="D125:G125" ca="1" si="56">OFFSET(D$76,MATCH($C125,$N$101:$N$107,0)*3-2,0)</f>
        <v>Total Capital Investment = $236,073K</v>
      </c>
      <c r="E125" s="1113">
        <f t="shared" ca="1" si="56"/>
        <v>1.1400161850943142</v>
      </c>
      <c r="F125" s="1113">
        <f t="shared" ca="1" si="56"/>
        <v>0</v>
      </c>
      <c r="G125" s="1113">
        <f t="shared" ca="1" si="56"/>
        <v>7.6073140600679378E-4</v>
      </c>
      <c r="H125" s="1113"/>
      <c r="I125" s="1113"/>
      <c r="J125" s="1113"/>
      <c r="K125" s="1113"/>
      <c r="L125" s="1113"/>
      <c r="M125" s="1113"/>
      <c r="N125" s="1113"/>
      <c r="O125" s="1113"/>
      <c r="P125" s="1113"/>
      <c r="Q125" s="1113"/>
      <c r="R125" s="1113"/>
      <c r="S125" s="1113"/>
      <c r="T125" s="1096"/>
      <c r="U125" s="1096"/>
      <c r="V125" s="1096"/>
      <c r="W125" s="1096"/>
      <c r="X125" s="1096"/>
      <c r="Y125" s="1096"/>
      <c r="Z125" s="1096"/>
      <c r="AA125" s="1096"/>
      <c r="AB125" s="1096"/>
      <c r="AC125" s="1096"/>
      <c r="AD125" s="1096"/>
      <c r="AE125" s="1096"/>
      <c r="AF125" s="1096"/>
      <c r="AG125" s="1096"/>
      <c r="AH125" s="1096"/>
      <c r="AI125" s="1096"/>
      <c r="AJ125" s="1096"/>
      <c r="AK125" s="1096"/>
      <c r="AL125" s="1096"/>
      <c r="AM125" s="1096"/>
      <c r="AN125" s="1096"/>
      <c r="AO125" s="1096"/>
      <c r="AP125" s="1096"/>
      <c r="AQ125" s="1096"/>
      <c r="AR125" s="1096"/>
      <c r="AS125" s="1096"/>
      <c r="AT125" s="1096"/>
      <c r="AU125" s="1096"/>
      <c r="AV125" s="1096"/>
      <c r="AW125" s="1096"/>
      <c r="AX125" s="1096"/>
      <c r="AY125" s="1096"/>
      <c r="AZ125" s="1096"/>
      <c r="BA125" s="1096"/>
      <c r="BB125" s="1096"/>
      <c r="BC125" s="1096"/>
      <c r="BD125" s="1096"/>
      <c r="BE125" s="1096"/>
      <c r="BF125" s="1096"/>
      <c r="BG125" s="1096"/>
      <c r="BH125" s="1096"/>
      <c r="BI125" s="1096"/>
      <c r="BJ125" s="1096"/>
      <c r="BK125" s="1096"/>
      <c r="BL125" s="1096"/>
      <c r="BM125" s="1096"/>
      <c r="BN125" s="1096"/>
      <c r="BO125" s="1096"/>
      <c r="BP125" s="1096"/>
      <c r="BQ125" s="1096"/>
      <c r="BR125" s="1096"/>
      <c r="BS125" s="1096"/>
      <c r="BT125" s="1096"/>
      <c r="BU125" s="1096"/>
    </row>
    <row r="126" spans="1:73" x14ac:dyDescent="0.25">
      <c r="A126" s="1096"/>
      <c r="B126" s="1096"/>
      <c r="C126" s="1120"/>
      <c r="D126" s="1100"/>
      <c r="E126" s="1113"/>
      <c r="F126" s="1113"/>
      <c r="G126" s="1113"/>
      <c r="H126" s="1113">
        <f t="shared" ref="H126:S126" ca="1" si="57">OFFSET(H$76,MATCH($C125,$N$101:$N$107,0)*3-2,0)</f>
        <v>6.9995636948897252E-2</v>
      </c>
      <c r="I126" s="1113">
        <f t="shared" ca="1" si="57"/>
        <v>1.0349261193574029E-2</v>
      </c>
      <c r="J126" s="1113">
        <f t="shared" ca="1" si="57"/>
        <v>1.3504624599101083E-2</v>
      </c>
      <c r="K126" s="1113">
        <f t="shared" ca="1" si="57"/>
        <v>4.493979107675744E-4</v>
      </c>
      <c r="L126" s="1113">
        <f t="shared" ca="1" si="57"/>
        <v>7.5895789732573779E-4</v>
      </c>
      <c r="M126" s="1113">
        <f t="shared" ca="1" si="57"/>
        <v>7.0831355334048787E-2</v>
      </c>
      <c r="N126" s="1113">
        <f t="shared" ca="1" si="57"/>
        <v>0.82763314128326659</v>
      </c>
      <c r="O126" s="1113">
        <f t="shared" ca="1" si="57"/>
        <v>0</v>
      </c>
      <c r="P126" s="1113">
        <f t="shared" ca="1" si="57"/>
        <v>9.2095669300620797E-2</v>
      </c>
      <c r="Q126" s="1113">
        <f t="shared" ca="1" si="57"/>
        <v>4.5982375234034645E-2</v>
      </c>
      <c r="R126" s="1113">
        <f t="shared" ca="1" si="57"/>
        <v>7.1108635925669168E-3</v>
      </c>
      <c r="S126" s="1113">
        <f t="shared" ca="1" si="57"/>
        <v>2.0656332061170452E-3</v>
      </c>
      <c r="T126" s="1096"/>
      <c r="U126" s="1096"/>
      <c r="V126" s="1096"/>
      <c r="W126" s="1096"/>
      <c r="X126" s="1096"/>
      <c r="Y126" s="1096"/>
      <c r="Z126" s="1096"/>
      <c r="AA126" s="1096"/>
      <c r="AB126" s="1096"/>
      <c r="AC126" s="1096"/>
      <c r="AD126" s="1096"/>
      <c r="AE126" s="1096"/>
      <c r="AF126" s="1096"/>
      <c r="AG126" s="1096"/>
      <c r="AH126" s="1096"/>
      <c r="AI126" s="1096"/>
      <c r="AJ126" s="1096"/>
      <c r="AK126" s="1096"/>
      <c r="AL126" s="1096"/>
      <c r="AM126" s="1096"/>
      <c r="AN126" s="1096"/>
      <c r="AO126" s="1096"/>
      <c r="AP126" s="1096"/>
      <c r="AQ126" s="1096"/>
      <c r="AR126" s="1096"/>
      <c r="AS126" s="1096"/>
      <c r="AT126" s="1096"/>
      <c r="AU126" s="1096"/>
      <c r="AV126" s="1096"/>
      <c r="AW126" s="1096"/>
      <c r="AX126" s="1096"/>
      <c r="AY126" s="1096"/>
      <c r="AZ126" s="1096"/>
      <c r="BA126" s="1096"/>
      <c r="BB126" s="1096"/>
      <c r="BC126" s="1096"/>
      <c r="BD126" s="1096"/>
      <c r="BE126" s="1096"/>
      <c r="BF126" s="1096"/>
      <c r="BG126" s="1096"/>
      <c r="BH126" s="1096"/>
      <c r="BI126" s="1096"/>
      <c r="BJ126" s="1096"/>
      <c r="BK126" s="1096"/>
      <c r="BL126" s="1096"/>
      <c r="BM126" s="1096"/>
      <c r="BN126" s="1096"/>
      <c r="BO126" s="1096"/>
      <c r="BP126" s="1096"/>
      <c r="BQ126" s="1096"/>
      <c r="BR126" s="1096"/>
      <c r="BS126" s="1096"/>
      <c r="BT126" s="1096"/>
      <c r="BU126" s="1096"/>
    </row>
    <row r="127" spans="1:73" x14ac:dyDescent="0.25">
      <c r="A127" s="1096"/>
      <c r="B127" s="1096"/>
      <c r="C127" s="1120">
        <v>3</v>
      </c>
      <c r="D127" s="1100" t="str">
        <f t="shared" ref="D127:G127" ca="1" si="58">OFFSET(D$76,MATCH($C127,$N$101:$N$107,0)*3,0)</f>
        <v>Total Capital Investment = $260,923K</v>
      </c>
      <c r="E127" s="1113">
        <f t="shared" ca="1" si="58"/>
        <v>1.1566645036849095</v>
      </c>
      <c r="F127" s="1113">
        <f t="shared" ca="1" si="58"/>
        <v>0</v>
      </c>
      <c r="G127" s="1113">
        <f t="shared" ca="1" si="58"/>
        <v>8.40808396112772E-4</v>
      </c>
      <c r="H127" s="1113"/>
      <c r="I127" s="1113"/>
      <c r="J127" s="1113"/>
      <c r="K127" s="1113"/>
      <c r="L127" s="1113"/>
      <c r="M127" s="1113"/>
      <c r="N127" s="1113"/>
      <c r="O127" s="1113"/>
      <c r="P127" s="1113"/>
      <c r="Q127" s="1113"/>
      <c r="R127" s="1113"/>
      <c r="S127" s="1113"/>
      <c r="T127" s="1096"/>
      <c r="U127" s="1096"/>
      <c r="V127" s="1096"/>
      <c r="W127" s="1096"/>
      <c r="X127" s="1096"/>
      <c r="Y127" s="1096"/>
      <c r="Z127" s="1096"/>
      <c r="AA127" s="1096"/>
      <c r="AB127" s="1096"/>
      <c r="AC127" s="1096"/>
      <c r="AD127" s="1096"/>
      <c r="AE127" s="1096"/>
      <c r="AF127" s="1096"/>
      <c r="AG127" s="1096"/>
      <c r="AH127" s="1096"/>
      <c r="AI127" s="1096"/>
      <c r="AJ127" s="1096"/>
      <c r="AK127" s="1096"/>
      <c r="AL127" s="1096"/>
      <c r="AM127" s="1096"/>
      <c r="AN127" s="1096"/>
      <c r="AO127" s="1096"/>
      <c r="AP127" s="1096"/>
      <c r="AQ127" s="1096"/>
      <c r="AR127" s="1096"/>
      <c r="AS127" s="1096"/>
      <c r="AT127" s="1096"/>
      <c r="AU127" s="1096"/>
      <c r="AV127" s="1096"/>
      <c r="AW127" s="1096"/>
      <c r="AX127" s="1096"/>
      <c r="AY127" s="1096"/>
      <c r="AZ127" s="1096"/>
      <c r="BA127" s="1096"/>
      <c r="BB127" s="1096"/>
      <c r="BC127" s="1096"/>
      <c r="BD127" s="1096"/>
      <c r="BE127" s="1096"/>
      <c r="BF127" s="1096"/>
      <c r="BG127" s="1096"/>
      <c r="BH127" s="1096"/>
      <c r="BI127" s="1096"/>
      <c r="BJ127" s="1096"/>
      <c r="BK127" s="1096"/>
      <c r="BL127" s="1096"/>
      <c r="BM127" s="1096"/>
      <c r="BN127" s="1096"/>
      <c r="BO127" s="1096"/>
      <c r="BP127" s="1096"/>
      <c r="BQ127" s="1096"/>
      <c r="BR127" s="1096"/>
      <c r="BS127" s="1096"/>
      <c r="BT127" s="1096"/>
      <c r="BU127" s="1096"/>
    </row>
    <row r="128" spans="1:73" x14ac:dyDescent="0.25">
      <c r="A128" s="1096"/>
      <c r="B128" s="1096"/>
      <c r="C128" s="1120"/>
      <c r="D128" s="1100"/>
      <c r="E128" s="1113"/>
      <c r="F128" s="1113"/>
      <c r="G128" s="1113"/>
      <c r="H128" s="1113">
        <f t="shared" ref="H128:S128" ca="1" si="59">OFFSET(H$76,MATCH($C127,$N$101:$N$107,0)*3,0)</f>
        <v>7.7380815951801615E-2</v>
      </c>
      <c r="I128" s="1113">
        <f t="shared" ca="1" si="59"/>
        <v>1.0349261193574029E-2</v>
      </c>
      <c r="J128" s="1113">
        <f t="shared" ca="1" si="59"/>
        <v>1.3560144872223566E-2</v>
      </c>
      <c r="K128" s="1113">
        <f t="shared" ca="1" si="59"/>
        <v>4.493979107675744E-4</v>
      </c>
      <c r="L128" s="1113">
        <f t="shared" ca="1" si="59"/>
        <v>8.3903488743171633E-4</v>
      </c>
      <c r="M128" s="1113">
        <f t="shared" ca="1" si="59"/>
        <v>7.4899709966500805E-2</v>
      </c>
      <c r="N128" s="1113">
        <f t="shared" ca="1" si="59"/>
        <v>0.82763314128326659</v>
      </c>
      <c r="O128" s="1113">
        <f t="shared" ca="1" si="59"/>
        <v>0</v>
      </c>
      <c r="P128" s="1113">
        <f t="shared" ca="1" si="59"/>
        <v>9.2095669300620797E-2</v>
      </c>
      <c r="Q128" s="1113">
        <f t="shared" ca="1" si="59"/>
        <v>5.0833935801016715E-2</v>
      </c>
      <c r="R128" s="1113">
        <f t="shared" ca="1" si="59"/>
        <v>7.1806245380051908E-3</v>
      </c>
      <c r="S128" s="1113">
        <f t="shared" ca="1" si="59"/>
        <v>2.2835763758128247E-3</v>
      </c>
      <c r="T128" s="1096"/>
      <c r="U128" s="1096"/>
      <c r="V128" s="1096"/>
      <c r="W128" s="1096"/>
      <c r="X128" s="1096"/>
      <c r="Y128" s="1096"/>
      <c r="Z128" s="1096"/>
      <c r="AA128" s="1096"/>
      <c r="AB128" s="1096"/>
      <c r="AC128" s="1096"/>
      <c r="AD128" s="1096"/>
      <c r="AE128" s="1096"/>
      <c r="AF128" s="1096"/>
      <c r="AG128" s="1096"/>
      <c r="AH128" s="1096"/>
      <c r="AI128" s="1096"/>
      <c r="AJ128" s="1096"/>
      <c r="AK128" s="1096"/>
      <c r="AL128" s="1096"/>
      <c r="AM128" s="1096"/>
      <c r="AN128" s="1096"/>
      <c r="AO128" s="1096"/>
      <c r="AP128" s="1096"/>
      <c r="AQ128" s="1096"/>
      <c r="AR128" s="1096"/>
      <c r="AS128" s="1096"/>
      <c r="AT128" s="1096"/>
      <c r="AU128" s="1096"/>
      <c r="AV128" s="1096"/>
      <c r="AW128" s="1096"/>
      <c r="AX128" s="1096"/>
      <c r="AY128" s="1096"/>
      <c r="AZ128" s="1096"/>
      <c r="BA128" s="1096"/>
      <c r="BB128" s="1096"/>
      <c r="BC128" s="1096"/>
      <c r="BD128" s="1096"/>
      <c r="BE128" s="1096"/>
      <c r="BF128" s="1096"/>
      <c r="BG128" s="1096"/>
      <c r="BH128" s="1096"/>
      <c r="BI128" s="1096"/>
      <c r="BJ128" s="1096"/>
      <c r="BK128" s="1096"/>
      <c r="BL128" s="1096"/>
      <c r="BM128" s="1096"/>
      <c r="BN128" s="1096"/>
      <c r="BO128" s="1096"/>
      <c r="BP128" s="1096"/>
      <c r="BQ128" s="1096"/>
      <c r="BR128" s="1096"/>
      <c r="BS128" s="1096"/>
      <c r="BT128" s="1096"/>
      <c r="BU128" s="1096"/>
    </row>
    <row r="129" spans="1:73" x14ac:dyDescent="0.25">
      <c r="A129" s="1096"/>
      <c r="B129" s="1096"/>
      <c r="C129" s="1120"/>
      <c r="D129" s="1100"/>
      <c r="E129" s="1113"/>
      <c r="F129" s="1113"/>
      <c r="G129" s="1113"/>
      <c r="H129" s="1113"/>
      <c r="I129" s="1113"/>
      <c r="J129" s="1113"/>
      <c r="K129" s="1113"/>
      <c r="L129" s="1113"/>
      <c r="M129" s="1113"/>
      <c r="N129" s="1113"/>
      <c r="O129" s="1113"/>
      <c r="P129" s="1113"/>
      <c r="Q129" s="1113"/>
      <c r="R129" s="1113"/>
      <c r="S129" s="1113"/>
      <c r="T129" s="1096"/>
      <c r="U129" s="1096"/>
      <c r="V129" s="1096"/>
      <c r="W129" s="1096"/>
      <c r="X129" s="1096"/>
      <c r="Y129" s="1096"/>
      <c r="Z129" s="1096"/>
      <c r="AA129" s="1096"/>
      <c r="AB129" s="1096"/>
      <c r="AC129" s="1096"/>
      <c r="AD129" s="1096"/>
      <c r="AE129" s="1096"/>
      <c r="AF129" s="1096"/>
      <c r="AG129" s="1096"/>
      <c r="AH129" s="1096"/>
      <c r="AI129" s="1096"/>
      <c r="AJ129" s="1096"/>
      <c r="AK129" s="1096"/>
      <c r="AL129" s="1096"/>
      <c r="AM129" s="1096"/>
      <c r="AN129" s="1096"/>
      <c r="AO129" s="1096"/>
      <c r="AP129" s="1096"/>
      <c r="AQ129" s="1096"/>
      <c r="AR129" s="1096"/>
      <c r="AS129" s="1096"/>
      <c r="AT129" s="1096"/>
      <c r="AU129" s="1096"/>
      <c r="AV129" s="1096"/>
      <c r="AW129" s="1096"/>
      <c r="AX129" s="1096"/>
      <c r="AY129" s="1096"/>
      <c r="AZ129" s="1096"/>
      <c r="BA129" s="1096"/>
      <c r="BB129" s="1096"/>
      <c r="BC129" s="1096"/>
      <c r="BD129" s="1096"/>
      <c r="BE129" s="1096"/>
      <c r="BF129" s="1096"/>
      <c r="BG129" s="1096"/>
      <c r="BH129" s="1096"/>
      <c r="BI129" s="1096"/>
      <c r="BJ129" s="1096"/>
      <c r="BK129" s="1096"/>
      <c r="BL129" s="1096"/>
      <c r="BM129" s="1096"/>
      <c r="BN129" s="1096"/>
      <c r="BO129" s="1096"/>
      <c r="BP129" s="1096"/>
      <c r="BQ129" s="1096"/>
      <c r="BR129" s="1096"/>
      <c r="BS129" s="1096"/>
      <c r="BT129" s="1096"/>
      <c r="BU129" s="1096"/>
    </row>
    <row r="130" spans="1:73" x14ac:dyDescent="0.25">
      <c r="A130" s="1096"/>
      <c r="B130" s="1096"/>
      <c r="C130" s="1120">
        <v>4</v>
      </c>
      <c r="D130" s="1100" t="str">
        <f t="shared" ref="D130:G130" ca="1" si="60">OFFSET(D$76,MATCH($C130,$N$101:$N$107,0)*3-2,0)</f>
        <v>Plant Design Capacity (kg of H2/day) = 398,356</v>
      </c>
      <c r="E130" s="1113">
        <f t="shared" ca="1" si="60"/>
        <v>1.1438493361582245</v>
      </c>
      <c r="F130" s="1113">
        <f t="shared" ca="1" si="60"/>
        <v>0</v>
      </c>
      <c r="G130" s="1113">
        <f t="shared" ca="1" si="60"/>
        <v>7.8529353320430271E-4</v>
      </c>
      <c r="H130" s="1113"/>
      <c r="I130" s="1113"/>
      <c r="J130" s="1113"/>
      <c r="K130" s="1113"/>
      <c r="L130" s="1113"/>
      <c r="M130" s="1113"/>
      <c r="N130" s="1113"/>
      <c r="O130" s="1113"/>
      <c r="P130" s="1113"/>
      <c r="Q130" s="1113"/>
      <c r="R130" s="1113"/>
      <c r="S130" s="1113"/>
      <c r="T130" s="1096"/>
      <c r="U130" s="1096"/>
      <c r="V130" s="1096"/>
      <c r="W130" s="1096"/>
      <c r="X130" s="1096"/>
      <c r="Y130" s="1096"/>
      <c r="Z130" s="1096"/>
      <c r="AA130" s="1096"/>
      <c r="AB130" s="1096"/>
      <c r="AC130" s="1096"/>
      <c r="AD130" s="1096"/>
      <c r="AE130" s="1096"/>
      <c r="AF130" s="1096"/>
      <c r="AG130" s="1096"/>
      <c r="AH130" s="1096"/>
      <c r="AI130" s="1096"/>
      <c r="AJ130" s="1096"/>
      <c r="AK130" s="1096"/>
      <c r="AL130" s="1096"/>
      <c r="AM130" s="1096"/>
      <c r="AN130" s="1096"/>
      <c r="AO130" s="1096"/>
      <c r="AP130" s="1096"/>
      <c r="AQ130" s="1096"/>
      <c r="AR130" s="1096"/>
      <c r="AS130" s="1096"/>
      <c r="AT130" s="1096"/>
      <c r="AU130" s="1096"/>
      <c r="AV130" s="1096"/>
      <c r="AW130" s="1096"/>
      <c r="AX130" s="1096"/>
      <c r="AY130" s="1096"/>
      <c r="AZ130" s="1096"/>
      <c r="BA130" s="1096"/>
      <c r="BB130" s="1096"/>
      <c r="BC130" s="1096"/>
      <c r="BD130" s="1096"/>
      <c r="BE130" s="1096"/>
      <c r="BF130" s="1096"/>
      <c r="BG130" s="1096"/>
      <c r="BH130" s="1096"/>
      <c r="BI130" s="1096"/>
      <c r="BJ130" s="1096"/>
      <c r="BK130" s="1096"/>
      <c r="BL130" s="1096"/>
      <c r="BM130" s="1096"/>
      <c r="BN130" s="1096"/>
      <c r="BO130" s="1096"/>
      <c r="BP130" s="1096"/>
      <c r="BQ130" s="1096"/>
      <c r="BR130" s="1096"/>
      <c r="BS130" s="1096"/>
      <c r="BT130" s="1096"/>
      <c r="BU130" s="1096"/>
    </row>
    <row r="131" spans="1:73" x14ac:dyDescent="0.25">
      <c r="A131" s="1096"/>
      <c r="B131" s="1096"/>
      <c r="C131" s="1120"/>
      <c r="D131" s="1100"/>
      <c r="E131" s="1113"/>
      <c r="F131" s="1113"/>
      <c r="G131" s="1113"/>
      <c r="H131" s="1113">
        <f t="shared" ref="H131:S131" ca="1" si="61">OFFSET(H$76,MATCH($C130,$N$101:$N$107,0)*3-2,0)</f>
        <v>7.2264064406228831E-2</v>
      </c>
      <c r="I131" s="1113">
        <f t="shared" ca="1" si="61"/>
        <v>1.0149242470277582E-2</v>
      </c>
      <c r="J131" s="1113">
        <f t="shared" ca="1" si="61"/>
        <v>1.3507819832605366E-2</v>
      </c>
      <c r="K131" s="1113">
        <f t="shared" ca="1" si="61"/>
        <v>4.4071246021390285E-4</v>
      </c>
      <c r="L131" s="1113">
        <f t="shared" ca="1" si="61"/>
        <v>7.8355430087742378E-4</v>
      </c>
      <c r="M131" s="1113">
        <f t="shared" ca="1" si="61"/>
        <v>7.106549220510118E-2</v>
      </c>
      <c r="N131" s="1113">
        <f t="shared" ca="1" si="61"/>
        <v>0.82763314128326637</v>
      </c>
      <c r="O131" s="1113">
        <f t="shared" ca="1" si="61"/>
        <v>0</v>
      </c>
      <c r="P131" s="1113">
        <f t="shared" ca="1" si="61"/>
        <v>9.2095669300620839E-2</v>
      </c>
      <c r="Q131" s="1113">
        <f t="shared" ca="1" si="61"/>
        <v>4.7472577867812546E-2</v>
      </c>
      <c r="R131" s="1113">
        <f t="shared" ca="1" si="61"/>
        <v>7.0897790560418587E-3</v>
      </c>
      <c r="S131" s="1113">
        <f t="shared" ca="1" si="61"/>
        <v>2.132576508382483E-3</v>
      </c>
      <c r="T131" s="1096"/>
      <c r="U131" s="1096"/>
      <c r="V131" s="1096"/>
      <c r="W131" s="1096"/>
      <c r="X131" s="1096"/>
      <c r="Y131" s="1096"/>
      <c r="Z131" s="1096"/>
      <c r="AA131" s="1096"/>
      <c r="AB131" s="1096"/>
      <c r="AC131" s="1096"/>
      <c r="AD131" s="1096"/>
      <c r="AE131" s="1096"/>
      <c r="AF131" s="1096"/>
      <c r="AG131" s="1096"/>
      <c r="AH131" s="1096"/>
      <c r="AI131" s="1096"/>
      <c r="AJ131" s="1096"/>
      <c r="AK131" s="1096"/>
      <c r="AL131" s="1096"/>
      <c r="AM131" s="1096"/>
      <c r="AN131" s="1096"/>
      <c r="AO131" s="1096"/>
      <c r="AP131" s="1096"/>
      <c r="AQ131" s="1096"/>
      <c r="AR131" s="1096"/>
      <c r="AS131" s="1096"/>
      <c r="AT131" s="1096"/>
      <c r="AU131" s="1096"/>
      <c r="AV131" s="1096"/>
      <c r="AW131" s="1096"/>
      <c r="AX131" s="1096"/>
      <c r="AY131" s="1096"/>
      <c r="AZ131" s="1096"/>
      <c r="BA131" s="1096"/>
      <c r="BB131" s="1096"/>
      <c r="BC131" s="1096"/>
      <c r="BD131" s="1096"/>
      <c r="BE131" s="1096"/>
      <c r="BF131" s="1096"/>
      <c r="BG131" s="1096"/>
      <c r="BH131" s="1096"/>
      <c r="BI131" s="1096"/>
      <c r="BJ131" s="1096"/>
      <c r="BK131" s="1096"/>
      <c r="BL131" s="1096"/>
      <c r="BM131" s="1096"/>
      <c r="BN131" s="1096"/>
      <c r="BO131" s="1096"/>
      <c r="BP131" s="1096"/>
      <c r="BQ131" s="1096"/>
      <c r="BR131" s="1096"/>
      <c r="BS131" s="1096"/>
      <c r="BT131" s="1096"/>
      <c r="BU131" s="1096"/>
    </row>
    <row r="132" spans="1:73" x14ac:dyDescent="0.25">
      <c r="A132" s="1096"/>
      <c r="B132" s="1096"/>
      <c r="C132" s="1120">
        <v>4</v>
      </c>
      <c r="D132" s="1100" t="str">
        <f t="shared" ref="D132:G132" ca="1" si="62">OFFSET(D$76,MATCH($C132,$N$101:$N$107,0)*3,0)</f>
        <v>Plant Design Capacity (kg of H2/day) = 360,418</v>
      </c>
      <c r="E132" s="1113">
        <f t="shared" ca="1" si="62"/>
        <v>1.1531735923681137</v>
      </c>
      <c r="F132" s="1113">
        <f t="shared" ca="1" si="62"/>
        <v>0</v>
      </c>
      <c r="G132" s="1113">
        <f t="shared" ca="1" si="62"/>
        <v>8.1736925639065607E-4</v>
      </c>
      <c r="H132" s="1113"/>
      <c r="I132" s="1113"/>
      <c r="J132" s="1113"/>
      <c r="K132" s="1113"/>
      <c r="L132" s="1113"/>
      <c r="M132" s="1113"/>
      <c r="N132" s="1113"/>
      <c r="O132" s="1113"/>
      <c r="P132" s="1113"/>
      <c r="Q132" s="1113"/>
      <c r="R132" s="1113"/>
      <c r="S132" s="1113"/>
      <c r="T132" s="1096"/>
      <c r="U132" s="1096"/>
      <c r="V132" s="1096"/>
      <c r="W132" s="1096"/>
      <c r="X132" s="1096"/>
      <c r="Y132" s="1096"/>
      <c r="Z132" s="1096"/>
      <c r="AA132" s="1096"/>
      <c r="AB132" s="1096"/>
      <c r="AC132" s="1096"/>
      <c r="AD132" s="1096"/>
      <c r="AE132" s="1096"/>
      <c r="AF132" s="1096"/>
      <c r="AG132" s="1096"/>
      <c r="AH132" s="1096"/>
      <c r="AI132" s="1096"/>
      <c r="AJ132" s="1096"/>
      <c r="AK132" s="1096"/>
      <c r="AL132" s="1096"/>
      <c r="AM132" s="1096"/>
      <c r="AN132" s="1096"/>
      <c r="AO132" s="1096"/>
      <c r="AP132" s="1096"/>
      <c r="AQ132" s="1096"/>
      <c r="AR132" s="1096"/>
      <c r="AS132" s="1096"/>
      <c r="AT132" s="1096"/>
      <c r="AU132" s="1096"/>
      <c r="AV132" s="1096"/>
      <c r="AW132" s="1096"/>
      <c r="AX132" s="1096"/>
      <c r="AY132" s="1096"/>
      <c r="AZ132" s="1096"/>
      <c r="BA132" s="1096"/>
      <c r="BB132" s="1096"/>
      <c r="BC132" s="1096"/>
      <c r="BD132" s="1096"/>
      <c r="BE132" s="1096"/>
      <c r="BF132" s="1096"/>
      <c r="BG132" s="1096"/>
      <c r="BH132" s="1096"/>
      <c r="BI132" s="1096"/>
      <c r="BJ132" s="1096"/>
      <c r="BK132" s="1096"/>
      <c r="BL132" s="1096"/>
      <c r="BM132" s="1096"/>
      <c r="BN132" s="1096"/>
      <c r="BO132" s="1096"/>
      <c r="BP132" s="1096"/>
      <c r="BQ132" s="1096"/>
      <c r="BR132" s="1096"/>
      <c r="BS132" s="1096"/>
      <c r="BT132" s="1096"/>
      <c r="BU132" s="1096"/>
    </row>
    <row r="133" spans="1:73" x14ac:dyDescent="0.25">
      <c r="A133" s="1096"/>
      <c r="B133" s="1096"/>
      <c r="C133" s="1120"/>
      <c r="D133" s="1100"/>
      <c r="E133" s="1113"/>
      <c r="F133" s="1113"/>
      <c r="G133" s="1113"/>
      <c r="H133" s="1113">
        <f t="shared" ref="H133:S133" ca="1" si="63">OFFSET(H$76,MATCH($C132,$N$101:$N$107,0)*3,0)</f>
        <v>7.5215727737463683E-2</v>
      </c>
      <c r="I133" s="1113">
        <f t="shared" ca="1" si="63"/>
        <v>1.0563793562656324E-2</v>
      </c>
      <c r="J133" s="1113">
        <f t="shared" ca="1" si="63"/>
        <v>1.3558951414059391E-2</v>
      </c>
      <c r="K133" s="1113">
        <f t="shared" ca="1" si="63"/>
        <v>4.5871359008557873E-4</v>
      </c>
      <c r="L133" s="1113">
        <f t="shared" ca="1" si="63"/>
        <v>8.1555898421394404E-4</v>
      </c>
      <c r="M133" s="1113">
        <f t="shared" ca="1" si="63"/>
        <v>7.481225702764073E-2</v>
      </c>
      <c r="N133" s="1113">
        <f t="shared" ca="1" si="63"/>
        <v>0.82763314128326693</v>
      </c>
      <c r="O133" s="1113">
        <f t="shared" ca="1" si="63"/>
        <v>0</v>
      </c>
      <c r="P133" s="1113">
        <f t="shared" ca="1" si="63"/>
        <v>9.2095669300620797E-2</v>
      </c>
      <c r="Q133" s="1113">
        <f t="shared" ca="1" si="63"/>
        <v>4.9411620024975463E-2</v>
      </c>
      <c r="R133" s="1113">
        <f t="shared" ca="1" si="63"/>
        <v>7.2058459934369332E-3</v>
      </c>
      <c r="S133" s="1113">
        <f t="shared" ca="1" si="63"/>
        <v>2.2196827060834644E-3</v>
      </c>
      <c r="T133" s="1096"/>
      <c r="U133" s="1096"/>
      <c r="V133" s="1096"/>
      <c r="W133" s="1096"/>
      <c r="X133" s="1096"/>
      <c r="Y133" s="1096"/>
      <c r="Z133" s="1096"/>
      <c r="AA133" s="1096"/>
      <c r="AB133" s="1096"/>
      <c r="AC133" s="1096"/>
      <c r="AD133" s="1096"/>
      <c r="AE133" s="1096"/>
      <c r="AF133" s="1096"/>
      <c r="AG133" s="1096"/>
      <c r="AH133" s="1096"/>
      <c r="AI133" s="1096"/>
      <c r="AJ133" s="1096"/>
      <c r="AK133" s="1096"/>
      <c r="AL133" s="1096"/>
      <c r="AM133" s="1096"/>
      <c r="AN133" s="1096"/>
      <c r="AO133" s="1096"/>
      <c r="AP133" s="1096"/>
      <c r="AQ133" s="1096"/>
      <c r="AR133" s="1096"/>
      <c r="AS133" s="1096"/>
      <c r="AT133" s="1096"/>
      <c r="AU133" s="1096"/>
      <c r="AV133" s="1096"/>
      <c r="AW133" s="1096"/>
      <c r="AX133" s="1096"/>
      <c r="AY133" s="1096"/>
      <c r="AZ133" s="1096"/>
      <c r="BA133" s="1096"/>
      <c r="BB133" s="1096"/>
      <c r="BC133" s="1096"/>
      <c r="BD133" s="1096"/>
      <c r="BE133" s="1096"/>
      <c r="BF133" s="1096"/>
      <c r="BG133" s="1096"/>
      <c r="BH133" s="1096"/>
      <c r="BI133" s="1096"/>
      <c r="BJ133" s="1096"/>
      <c r="BK133" s="1096"/>
      <c r="BL133" s="1096"/>
      <c r="BM133" s="1096"/>
      <c r="BN133" s="1096"/>
      <c r="BO133" s="1096"/>
      <c r="BP133" s="1096"/>
      <c r="BQ133" s="1096"/>
      <c r="BR133" s="1096"/>
      <c r="BS133" s="1096"/>
      <c r="BT133" s="1096"/>
      <c r="BU133" s="1096"/>
    </row>
    <row r="134" spans="1:73" x14ac:dyDescent="0.25">
      <c r="A134" s="1096"/>
      <c r="B134" s="1096"/>
      <c r="C134" s="1120"/>
      <c r="D134" s="1100"/>
      <c r="E134" s="1113"/>
      <c r="F134" s="1113"/>
      <c r="G134" s="1113"/>
      <c r="H134" s="1113"/>
      <c r="I134" s="1113"/>
      <c r="J134" s="1113"/>
      <c r="K134" s="1113"/>
      <c r="L134" s="1113"/>
      <c r="M134" s="1113"/>
      <c r="N134" s="1113"/>
      <c r="O134" s="1113"/>
      <c r="P134" s="1113"/>
      <c r="Q134" s="1113"/>
      <c r="R134" s="1113"/>
      <c r="S134" s="1113"/>
      <c r="T134" s="1096"/>
      <c r="U134" s="1096"/>
      <c r="V134" s="1096"/>
      <c r="W134" s="1096"/>
      <c r="X134" s="1096"/>
      <c r="Y134" s="1096"/>
      <c r="Z134" s="1096"/>
      <c r="AA134" s="1096"/>
      <c r="AB134" s="1096"/>
      <c r="AC134" s="1096"/>
      <c r="AD134" s="1096"/>
      <c r="AE134" s="1096"/>
      <c r="AF134" s="1096"/>
      <c r="AG134" s="1096"/>
      <c r="AH134" s="1096"/>
      <c r="AI134" s="1096"/>
      <c r="AJ134" s="1096"/>
      <c r="AK134" s="1096"/>
      <c r="AL134" s="1096"/>
      <c r="AM134" s="1096"/>
      <c r="AN134" s="1096"/>
      <c r="AO134" s="1096"/>
      <c r="AP134" s="1096"/>
      <c r="AQ134" s="1096"/>
      <c r="AR134" s="1096"/>
      <c r="AS134" s="1096"/>
      <c r="AT134" s="1096"/>
      <c r="AU134" s="1096"/>
      <c r="AV134" s="1096"/>
      <c r="AW134" s="1096"/>
      <c r="AX134" s="1096"/>
      <c r="AY134" s="1096"/>
      <c r="AZ134" s="1096"/>
      <c r="BA134" s="1096"/>
      <c r="BB134" s="1096"/>
      <c r="BC134" s="1096"/>
      <c r="BD134" s="1096"/>
      <c r="BE134" s="1096"/>
      <c r="BF134" s="1096"/>
      <c r="BG134" s="1096"/>
      <c r="BH134" s="1096"/>
      <c r="BI134" s="1096"/>
      <c r="BJ134" s="1096"/>
      <c r="BK134" s="1096"/>
      <c r="BL134" s="1096"/>
      <c r="BM134" s="1096"/>
      <c r="BN134" s="1096"/>
      <c r="BO134" s="1096"/>
      <c r="BP134" s="1096"/>
      <c r="BQ134" s="1096"/>
      <c r="BR134" s="1096"/>
      <c r="BS134" s="1096"/>
      <c r="BT134" s="1096"/>
      <c r="BU134" s="1096"/>
    </row>
    <row r="135" spans="1:73" x14ac:dyDescent="0.25">
      <c r="A135" s="1096"/>
      <c r="B135" s="1096"/>
      <c r="C135" s="1120">
        <v>5</v>
      </c>
      <c r="D135" s="1100" t="str">
        <f t="shared" ref="D135:G135" ca="1" si="64">OFFSET(D$76,MATCH($C135,$N$101:$N$107,0)*3-2,0)</f>
        <v>Total Fixed Operating Cost = $8,456K</v>
      </c>
      <c r="E135" s="1113">
        <f t="shared" ca="1" si="64"/>
        <v>1.1446301147643239</v>
      </c>
      <c r="F135" s="1113">
        <f t="shared" ca="1" si="64"/>
        <v>0</v>
      </c>
      <c r="G135" s="1113">
        <f t="shared" ca="1" si="64"/>
        <v>8.00769901059783E-4</v>
      </c>
      <c r="H135" s="1113"/>
      <c r="I135" s="1113"/>
      <c r="J135" s="1113"/>
      <c r="K135" s="1113"/>
      <c r="L135" s="1113"/>
      <c r="M135" s="1113"/>
      <c r="N135" s="1113"/>
      <c r="O135" s="1113"/>
      <c r="P135" s="1113"/>
      <c r="Q135" s="1113"/>
      <c r="R135" s="1113"/>
      <c r="S135" s="1113"/>
      <c r="T135" s="1096"/>
      <c r="U135" s="1096"/>
      <c r="V135" s="1096"/>
      <c r="W135" s="1096"/>
      <c r="X135" s="1096"/>
      <c r="Y135" s="1096"/>
      <c r="Z135" s="1096"/>
      <c r="AA135" s="1096"/>
      <c r="AB135" s="1096"/>
      <c r="AC135" s="1096"/>
      <c r="AD135" s="1096"/>
      <c r="AE135" s="1096"/>
      <c r="AF135" s="1096"/>
      <c r="AG135" s="1096"/>
      <c r="AH135" s="1096"/>
      <c r="AI135" s="1096"/>
      <c r="AJ135" s="1096"/>
      <c r="AK135" s="1096"/>
      <c r="AL135" s="1096"/>
      <c r="AM135" s="1096"/>
      <c r="AN135" s="1096"/>
      <c r="AO135" s="1096"/>
      <c r="AP135" s="1096"/>
      <c r="AQ135" s="1096"/>
      <c r="AR135" s="1096"/>
      <c r="AS135" s="1096"/>
      <c r="AT135" s="1096"/>
      <c r="AU135" s="1096"/>
      <c r="AV135" s="1096"/>
      <c r="AW135" s="1096"/>
      <c r="AX135" s="1096"/>
      <c r="AY135" s="1096"/>
      <c r="AZ135" s="1096"/>
      <c r="BA135" s="1096"/>
      <c r="BB135" s="1096"/>
      <c r="BC135" s="1096"/>
      <c r="BD135" s="1096"/>
      <c r="BE135" s="1096"/>
      <c r="BF135" s="1096"/>
      <c r="BG135" s="1096"/>
      <c r="BH135" s="1096"/>
      <c r="BI135" s="1096"/>
      <c r="BJ135" s="1096"/>
      <c r="BK135" s="1096"/>
      <c r="BL135" s="1096"/>
      <c r="BM135" s="1096"/>
      <c r="BN135" s="1096"/>
      <c r="BO135" s="1096"/>
      <c r="BP135" s="1096"/>
      <c r="BQ135" s="1096"/>
      <c r="BR135" s="1096"/>
      <c r="BS135" s="1096"/>
      <c r="BT135" s="1096"/>
      <c r="BU135" s="1096"/>
    </row>
    <row r="136" spans="1:73" x14ac:dyDescent="0.25">
      <c r="A136" s="1096"/>
      <c r="B136" s="1096"/>
      <c r="C136" s="1120"/>
      <c r="D136" s="1100"/>
      <c r="E136" s="1113"/>
      <c r="F136" s="1113"/>
      <c r="G136" s="1113"/>
      <c r="H136" s="1113">
        <f t="shared" ref="H136:S136" ca="1" si="65">OFFSET(H$76,MATCH($C135,$N$101:$N$107,0)*3-2,0)</f>
        <v>7.368822645034942E-2</v>
      </c>
      <c r="I136" s="1113">
        <f t="shared" ca="1" si="65"/>
        <v>1.0349261193574029E-2</v>
      </c>
      <c r="J136" s="1113">
        <f t="shared" ca="1" si="65"/>
        <v>1.3482665443227888E-2</v>
      </c>
      <c r="K136" s="1113">
        <f t="shared" ca="1" si="65"/>
        <v>4.493979107675744E-4</v>
      </c>
      <c r="L136" s="1113">
        <f t="shared" ca="1" si="65"/>
        <v>7.9899639237872733E-4</v>
      </c>
      <c r="M136" s="1113">
        <f t="shared" ca="1" si="65"/>
        <v>6.9222256017761094E-2</v>
      </c>
      <c r="N136" s="1113">
        <f t="shared" ca="1" si="65"/>
        <v>0.82763314128326659</v>
      </c>
      <c r="O136" s="1113">
        <f t="shared" ca="1" si="65"/>
        <v>0</v>
      </c>
      <c r="P136" s="1113">
        <f t="shared" ca="1" si="65"/>
        <v>9.2095669300620797E-2</v>
      </c>
      <c r="Q136" s="1113">
        <f t="shared" ca="1" si="65"/>
        <v>4.8408155517525683E-2</v>
      </c>
      <c r="R136" s="1113">
        <f t="shared" ca="1" si="65"/>
        <v>7.128510364945881E-3</v>
      </c>
      <c r="S136" s="1113">
        <f t="shared" ca="1" si="65"/>
        <v>2.1746047909649352E-3</v>
      </c>
      <c r="T136" s="1096"/>
      <c r="U136" s="1096"/>
      <c r="V136" s="1096"/>
      <c r="W136" s="1096"/>
      <c r="X136" s="1096"/>
      <c r="Y136" s="1096"/>
      <c r="Z136" s="1096"/>
      <c r="AA136" s="1096"/>
      <c r="AB136" s="1096"/>
      <c r="AC136" s="1096"/>
      <c r="AD136" s="1096"/>
      <c r="AE136" s="1096"/>
      <c r="AF136" s="1096"/>
      <c r="AG136" s="1096"/>
      <c r="AH136" s="1096"/>
      <c r="AI136" s="1096"/>
      <c r="AJ136" s="1096"/>
      <c r="AK136" s="1096"/>
      <c r="AL136" s="1096"/>
      <c r="AM136" s="1096"/>
      <c r="AN136" s="1096"/>
      <c r="AO136" s="1096"/>
      <c r="AP136" s="1096"/>
      <c r="AQ136" s="1096"/>
      <c r="AR136" s="1096"/>
      <c r="AS136" s="1096"/>
      <c r="AT136" s="1096"/>
      <c r="AU136" s="1096"/>
      <c r="AV136" s="1096"/>
      <c r="AW136" s="1096"/>
      <c r="AX136" s="1096"/>
      <c r="AY136" s="1096"/>
      <c r="AZ136" s="1096"/>
      <c r="BA136" s="1096"/>
      <c r="BB136" s="1096"/>
      <c r="BC136" s="1096"/>
      <c r="BD136" s="1096"/>
      <c r="BE136" s="1096"/>
      <c r="BF136" s="1096"/>
      <c r="BG136" s="1096"/>
      <c r="BH136" s="1096"/>
      <c r="BI136" s="1096"/>
      <c r="BJ136" s="1096"/>
      <c r="BK136" s="1096"/>
      <c r="BL136" s="1096"/>
      <c r="BM136" s="1096"/>
      <c r="BN136" s="1096"/>
      <c r="BO136" s="1096"/>
      <c r="BP136" s="1096"/>
      <c r="BQ136" s="1096"/>
      <c r="BR136" s="1096"/>
      <c r="BS136" s="1096"/>
      <c r="BT136" s="1096"/>
      <c r="BU136" s="1096"/>
    </row>
    <row r="137" spans="1:73" x14ac:dyDescent="0.25">
      <c r="A137" s="1096"/>
      <c r="B137" s="1096"/>
      <c r="C137" s="1120">
        <v>5</v>
      </c>
      <c r="D137" s="1100" t="str">
        <f t="shared" ref="D137:G137" ca="1" si="66">OFFSET(D$76,MATCH($C137,$N$101:$N$107,0)*3,0)</f>
        <v>Total Fixed Operating Cost = $9,346K</v>
      </c>
      <c r="E137" s="1113">
        <f t="shared" ca="1" si="66"/>
        <v>1.152050574014901</v>
      </c>
      <c r="F137" s="1113">
        <f t="shared" ca="1" si="66"/>
        <v>0</v>
      </c>
      <c r="G137" s="1113">
        <f t="shared" ca="1" si="66"/>
        <v>8.00769901059783E-4</v>
      </c>
      <c r="H137" s="1113"/>
      <c r="I137" s="1113"/>
      <c r="J137" s="1113"/>
      <c r="K137" s="1113"/>
      <c r="L137" s="1113"/>
      <c r="M137" s="1113"/>
      <c r="N137" s="1113"/>
      <c r="O137" s="1113"/>
      <c r="P137" s="1113"/>
      <c r="Q137" s="1113"/>
      <c r="R137" s="1113"/>
      <c r="S137" s="1113"/>
      <c r="T137" s="1096"/>
      <c r="U137" s="1096"/>
      <c r="V137" s="1096"/>
      <c r="W137" s="1096"/>
      <c r="X137" s="1096"/>
      <c r="Y137" s="1096"/>
      <c r="Z137" s="1096"/>
      <c r="AA137" s="1096"/>
      <c r="AB137" s="1096"/>
      <c r="AC137" s="1096"/>
      <c r="AD137" s="1096"/>
      <c r="AE137" s="1096"/>
      <c r="AF137" s="1096"/>
      <c r="AG137" s="1096"/>
      <c r="AH137" s="1096"/>
      <c r="AI137" s="1096"/>
      <c r="AJ137" s="1096"/>
      <c r="AK137" s="1096"/>
      <c r="AL137" s="1096"/>
      <c r="AM137" s="1096"/>
      <c r="AN137" s="1096"/>
      <c r="AO137" s="1096"/>
      <c r="AP137" s="1096"/>
      <c r="AQ137" s="1096"/>
      <c r="AR137" s="1096"/>
      <c r="AS137" s="1096"/>
      <c r="AT137" s="1096"/>
      <c r="AU137" s="1096"/>
      <c r="AV137" s="1096"/>
      <c r="AW137" s="1096"/>
      <c r="AX137" s="1096"/>
      <c r="AY137" s="1096"/>
      <c r="AZ137" s="1096"/>
      <c r="BA137" s="1096"/>
      <c r="BB137" s="1096"/>
      <c r="BC137" s="1096"/>
      <c r="BD137" s="1096"/>
      <c r="BE137" s="1096"/>
      <c r="BF137" s="1096"/>
      <c r="BG137" s="1096"/>
      <c r="BH137" s="1096"/>
      <c r="BI137" s="1096"/>
      <c r="BJ137" s="1096"/>
      <c r="BK137" s="1096"/>
      <c r="BL137" s="1096"/>
      <c r="BM137" s="1096"/>
      <c r="BN137" s="1096"/>
      <c r="BO137" s="1096"/>
      <c r="BP137" s="1096"/>
      <c r="BQ137" s="1096"/>
      <c r="BR137" s="1096"/>
      <c r="BS137" s="1096"/>
      <c r="BT137" s="1096"/>
      <c r="BU137" s="1096"/>
    </row>
    <row r="138" spans="1:73" x14ac:dyDescent="0.25">
      <c r="A138" s="1096"/>
      <c r="B138" s="1096"/>
      <c r="C138" s="1120"/>
      <c r="D138" s="1100"/>
      <c r="E138" s="1113"/>
      <c r="F138" s="1113"/>
      <c r="G138" s="1113"/>
      <c r="H138" s="1113">
        <f t="shared" ref="H138:S138" ca="1" si="67">OFFSET(H$76,MATCH($C137,$N$101:$N$107,0)*3,0)</f>
        <v>7.368822645034942E-2</v>
      </c>
      <c r="I138" s="1113">
        <f t="shared" ca="1" si="67"/>
        <v>1.0349261193574029E-2</v>
      </c>
      <c r="J138" s="1113">
        <f t="shared" ca="1" si="67"/>
        <v>1.3582104028096776E-2</v>
      </c>
      <c r="K138" s="1113">
        <f t="shared" ca="1" si="67"/>
        <v>4.493979107675744E-4</v>
      </c>
      <c r="L138" s="1113">
        <f t="shared" ca="1" si="67"/>
        <v>7.9899639237872733E-4</v>
      </c>
      <c r="M138" s="1113">
        <f t="shared" ca="1" si="67"/>
        <v>7.6508809282788567E-2</v>
      </c>
      <c r="N138" s="1113">
        <f t="shared" ca="1" si="67"/>
        <v>0.82763314128326659</v>
      </c>
      <c r="O138" s="1113">
        <f t="shared" ca="1" si="67"/>
        <v>0</v>
      </c>
      <c r="P138" s="1113">
        <f t="shared" ca="1" si="67"/>
        <v>9.2095669300620797E-2</v>
      </c>
      <c r="Q138" s="1113">
        <f t="shared" ca="1" si="67"/>
        <v>4.8408155517525683E-2</v>
      </c>
      <c r="R138" s="1113">
        <f t="shared" ca="1" si="67"/>
        <v>7.1629777656262907E-3</v>
      </c>
      <c r="S138" s="1113">
        <f t="shared" ca="1" si="67"/>
        <v>2.1746047909649352E-3</v>
      </c>
      <c r="T138" s="1096"/>
      <c r="U138" s="1096"/>
      <c r="V138" s="1096"/>
      <c r="W138" s="1096"/>
      <c r="X138" s="1096"/>
      <c r="Y138" s="1096"/>
      <c r="Z138" s="1096"/>
      <c r="AA138" s="1096"/>
      <c r="AB138" s="1096"/>
      <c r="AC138" s="1096"/>
      <c r="AD138" s="1096"/>
      <c r="AE138" s="1096"/>
      <c r="AF138" s="1096"/>
      <c r="AG138" s="1096"/>
      <c r="AH138" s="1096"/>
      <c r="AI138" s="1096"/>
      <c r="AJ138" s="1096"/>
      <c r="AK138" s="1096"/>
      <c r="AL138" s="1096"/>
      <c r="AM138" s="1096"/>
      <c r="AN138" s="1096"/>
      <c r="AO138" s="1096"/>
      <c r="AP138" s="1096"/>
      <c r="AQ138" s="1096"/>
      <c r="AR138" s="1096"/>
      <c r="AS138" s="1096"/>
      <c r="AT138" s="1096"/>
      <c r="AU138" s="1096"/>
      <c r="AV138" s="1096"/>
      <c r="AW138" s="1096"/>
      <c r="AX138" s="1096"/>
      <c r="AY138" s="1096"/>
      <c r="AZ138" s="1096"/>
      <c r="BA138" s="1096"/>
      <c r="BB138" s="1096"/>
      <c r="BC138" s="1096"/>
      <c r="BD138" s="1096"/>
      <c r="BE138" s="1096"/>
      <c r="BF138" s="1096"/>
      <c r="BG138" s="1096"/>
      <c r="BH138" s="1096"/>
      <c r="BI138" s="1096"/>
      <c r="BJ138" s="1096"/>
      <c r="BK138" s="1096"/>
      <c r="BL138" s="1096"/>
      <c r="BM138" s="1096"/>
      <c r="BN138" s="1096"/>
      <c r="BO138" s="1096"/>
      <c r="BP138" s="1096"/>
      <c r="BQ138" s="1096"/>
      <c r="BR138" s="1096"/>
      <c r="BS138" s="1096"/>
      <c r="BT138" s="1096"/>
      <c r="BU138" s="1096"/>
    </row>
    <row r="139" spans="1:73" x14ac:dyDescent="0.25">
      <c r="A139" s="1096"/>
      <c r="B139" s="1096"/>
      <c r="C139" s="1120"/>
      <c r="D139" s="1100"/>
      <c r="E139" s="1113"/>
      <c r="F139" s="1113"/>
      <c r="G139" s="1113"/>
      <c r="H139" s="1113"/>
      <c r="I139" s="1113"/>
      <c r="J139" s="1113"/>
      <c r="K139" s="1113"/>
      <c r="L139" s="1113"/>
      <c r="M139" s="1113"/>
      <c r="N139" s="1113"/>
      <c r="O139" s="1113"/>
      <c r="P139" s="1113"/>
      <c r="Q139" s="1113"/>
      <c r="R139" s="1113"/>
      <c r="S139" s="1113"/>
      <c r="T139" s="1096"/>
      <c r="U139" s="1096"/>
      <c r="V139" s="1096"/>
      <c r="W139" s="1096"/>
      <c r="X139" s="1096"/>
      <c r="Y139" s="1096"/>
      <c r="Z139" s="1096"/>
      <c r="AA139" s="1096"/>
      <c r="AB139" s="1096"/>
      <c r="AC139" s="1096"/>
      <c r="AD139" s="1096"/>
      <c r="AE139" s="1096"/>
      <c r="AF139" s="1096"/>
      <c r="AG139" s="1096"/>
      <c r="AH139" s="1096"/>
      <c r="AI139" s="1096"/>
      <c r="AJ139" s="1096"/>
      <c r="AK139" s="1096"/>
      <c r="AL139" s="1096"/>
      <c r="AM139" s="1096"/>
      <c r="AN139" s="1096"/>
      <c r="AO139" s="1096"/>
      <c r="AP139" s="1096"/>
      <c r="AQ139" s="1096"/>
      <c r="AR139" s="1096"/>
      <c r="AS139" s="1096"/>
      <c r="AT139" s="1096"/>
      <c r="AU139" s="1096"/>
      <c r="AV139" s="1096"/>
      <c r="AW139" s="1096"/>
      <c r="AX139" s="1096"/>
      <c r="AY139" s="1096"/>
      <c r="AZ139" s="1096"/>
      <c r="BA139" s="1096"/>
      <c r="BB139" s="1096"/>
      <c r="BC139" s="1096"/>
      <c r="BD139" s="1096"/>
      <c r="BE139" s="1096"/>
      <c r="BF139" s="1096"/>
      <c r="BG139" s="1096"/>
      <c r="BH139" s="1096"/>
      <c r="BI139" s="1096"/>
      <c r="BJ139" s="1096"/>
      <c r="BK139" s="1096"/>
      <c r="BL139" s="1096"/>
      <c r="BM139" s="1096"/>
      <c r="BN139" s="1096"/>
      <c r="BO139" s="1096"/>
      <c r="BP139" s="1096"/>
      <c r="BQ139" s="1096"/>
      <c r="BR139" s="1096"/>
      <c r="BS139" s="1096"/>
      <c r="BT139" s="1096"/>
      <c r="BU139" s="1096"/>
    </row>
    <row r="140" spans="1:73" x14ac:dyDescent="0.25">
      <c r="A140" s="1096"/>
      <c r="B140" s="1096"/>
      <c r="C140" s="1120">
        <v>6</v>
      </c>
      <c r="D140" s="1100" t="str">
        <f t="shared" ref="D140:G140" ca="1" si="68">OFFSET(D$76,MATCH($C140,$N$101:$N$107,0)*3-2,0)</f>
        <v>After-tax Real IRR = 8%</v>
      </c>
      <c r="E140" s="1113">
        <f t="shared" ca="1" si="68"/>
        <v>1.1461985173255709</v>
      </c>
      <c r="F140" s="1113">
        <f t="shared" ca="1" si="68"/>
        <v>0</v>
      </c>
      <c r="G140" s="1113">
        <f t="shared" ca="1" si="68"/>
        <v>8.8791669525435516E-4</v>
      </c>
      <c r="H140" s="1113"/>
      <c r="I140" s="1113"/>
      <c r="J140" s="1113"/>
      <c r="K140" s="1113"/>
      <c r="L140" s="1113"/>
      <c r="M140" s="1113"/>
      <c r="N140" s="1113"/>
      <c r="O140" s="1113"/>
      <c r="P140" s="1113"/>
      <c r="Q140" s="1113"/>
      <c r="R140" s="1113"/>
      <c r="S140" s="1113"/>
      <c r="T140" s="1096"/>
      <c r="U140" s="1096"/>
      <c r="V140" s="1096"/>
      <c r="W140" s="1096"/>
      <c r="X140" s="1096"/>
      <c r="Y140" s="1096"/>
      <c r="Z140" s="1096"/>
      <c r="AA140" s="1096"/>
      <c r="AB140" s="1096"/>
      <c r="AC140" s="1096"/>
      <c r="AD140" s="1096"/>
      <c r="AE140" s="1096"/>
      <c r="AF140" s="1096"/>
      <c r="AG140" s="1096"/>
      <c r="AH140" s="1096"/>
      <c r="AI140" s="1096"/>
      <c r="AJ140" s="1096"/>
      <c r="AK140" s="1096"/>
      <c r="AL140" s="1096"/>
      <c r="AM140" s="1096"/>
      <c r="AN140" s="1096"/>
      <c r="AO140" s="1096"/>
      <c r="AP140" s="1096"/>
      <c r="AQ140" s="1096"/>
      <c r="AR140" s="1096"/>
      <c r="AS140" s="1096"/>
      <c r="AT140" s="1096"/>
      <c r="AU140" s="1096"/>
      <c r="AV140" s="1096"/>
      <c r="AW140" s="1096"/>
      <c r="AX140" s="1096"/>
      <c r="AY140" s="1096"/>
      <c r="AZ140" s="1096"/>
      <c r="BA140" s="1096"/>
      <c r="BB140" s="1096"/>
      <c r="BC140" s="1096"/>
      <c r="BD140" s="1096"/>
      <c r="BE140" s="1096"/>
      <c r="BF140" s="1096"/>
      <c r="BG140" s="1096"/>
      <c r="BH140" s="1096"/>
      <c r="BI140" s="1096"/>
      <c r="BJ140" s="1096"/>
      <c r="BK140" s="1096"/>
      <c r="BL140" s="1096"/>
      <c r="BM140" s="1096"/>
      <c r="BN140" s="1096"/>
      <c r="BO140" s="1096"/>
      <c r="BP140" s="1096"/>
      <c r="BQ140" s="1096"/>
      <c r="BR140" s="1096"/>
      <c r="BS140" s="1096"/>
      <c r="BT140" s="1096"/>
      <c r="BU140" s="1096"/>
    </row>
    <row r="141" spans="1:73" x14ac:dyDescent="0.25">
      <c r="A141" s="1096"/>
      <c r="B141" s="1096"/>
      <c r="C141" s="1120"/>
      <c r="D141" s="1100"/>
      <c r="E141" s="1113"/>
      <c r="F141" s="1113"/>
      <c r="G141" s="1113"/>
      <c r="H141" s="1113">
        <f t="shared" ref="H141:S141" ca="1" si="69">OFFSET(H$76,MATCH($C140,$N$101:$N$107,0)*3-2,0)</f>
        <v>7.023231164183219E-2</v>
      </c>
      <c r="I141" s="1113">
        <f t="shared" ca="1" si="69"/>
        <v>1.0332963050295596E-2</v>
      </c>
      <c r="J141" s="1113">
        <f t="shared" ca="1" si="69"/>
        <v>1.306825985797838E-2</v>
      </c>
      <c r="K141" s="1113">
        <f t="shared" ca="1" si="69"/>
        <v>4.2639607246159424E-4</v>
      </c>
      <c r="L141" s="1113">
        <f t="shared" ca="1" si="69"/>
        <v>8.8595017782531127E-4</v>
      </c>
      <c r="M141" s="1113">
        <f t="shared" ca="1" si="69"/>
        <v>7.2807022071961255E-2</v>
      </c>
      <c r="N141" s="1113">
        <f t="shared" ca="1" si="69"/>
        <v>0.83098380877630285</v>
      </c>
      <c r="O141" s="1113">
        <f t="shared" ca="1" si="69"/>
        <v>0</v>
      </c>
      <c r="P141" s="1113">
        <f t="shared" ca="1" si="69"/>
        <v>9.2089203568719413E-2</v>
      </c>
      <c r="Q141" s="1113">
        <f t="shared" ca="1" si="69"/>
        <v>4.7557872871080577E-2</v>
      </c>
      <c r="R141" s="1113">
        <f t="shared" ca="1" si="69"/>
        <v>6.2913816017244736E-3</v>
      </c>
      <c r="S141" s="1113">
        <f t="shared" ca="1" si="69"/>
        <v>2.4112643306428679E-3</v>
      </c>
      <c r="T141" s="1096"/>
      <c r="U141" s="1096"/>
      <c r="V141" s="1096"/>
      <c r="W141" s="1096"/>
      <c r="X141" s="1096"/>
      <c r="Y141" s="1096"/>
      <c r="Z141" s="1096"/>
      <c r="AA141" s="1096"/>
      <c r="AB141" s="1096"/>
      <c r="AC141" s="1096"/>
      <c r="AD141" s="1096"/>
      <c r="AE141" s="1096"/>
      <c r="AF141" s="1096"/>
      <c r="AG141" s="1096"/>
      <c r="AH141" s="1096"/>
      <c r="AI141" s="1096"/>
      <c r="AJ141" s="1096"/>
      <c r="AK141" s="1096"/>
      <c r="AL141" s="1096"/>
      <c r="AM141" s="1096"/>
      <c r="AN141" s="1096"/>
      <c r="AO141" s="1096"/>
      <c r="AP141" s="1096"/>
      <c r="AQ141" s="1096"/>
      <c r="AR141" s="1096"/>
      <c r="AS141" s="1096"/>
      <c r="AT141" s="1096"/>
      <c r="AU141" s="1096"/>
      <c r="AV141" s="1096"/>
      <c r="AW141" s="1096"/>
      <c r="AX141" s="1096"/>
      <c r="AY141" s="1096"/>
      <c r="AZ141" s="1096"/>
      <c r="BA141" s="1096"/>
      <c r="BB141" s="1096"/>
      <c r="BC141" s="1096"/>
      <c r="BD141" s="1096"/>
      <c r="BE141" s="1096"/>
      <c r="BF141" s="1096"/>
      <c r="BG141" s="1096"/>
      <c r="BH141" s="1096"/>
      <c r="BI141" s="1096"/>
      <c r="BJ141" s="1096"/>
      <c r="BK141" s="1096"/>
      <c r="BL141" s="1096"/>
      <c r="BM141" s="1096"/>
      <c r="BN141" s="1096"/>
      <c r="BO141" s="1096"/>
      <c r="BP141" s="1096"/>
      <c r="BQ141" s="1096"/>
      <c r="BR141" s="1096"/>
      <c r="BS141" s="1096"/>
      <c r="BT141" s="1096"/>
      <c r="BU141" s="1096"/>
    </row>
    <row r="142" spans="1:73" x14ac:dyDescent="0.25">
      <c r="A142" s="1096"/>
      <c r="B142" s="1096"/>
      <c r="C142" s="1120">
        <v>6</v>
      </c>
      <c r="D142" s="1100" t="str">
        <f t="shared" ref="D142:G142" ca="1" si="70">OFFSET(D$76,MATCH($C142,$N$101:$N$107,0)*3,0)</f>
        <v>After-tax Real IRR = 8%</v>
      </c>
      <c r="E142" s="1113">
        <f t="shared" ca="1" si="70"/>
        <v>1.150693586435334</v>
      </c>
      <c r="F142" s="1113">
        <f t="shared" ca="1" si="70"/>
        <v>0</v>
      </c>
      <c r="G142" s="1113">
        <f t="shared" ca="1" si="70"/>
        <v>7.2159527936608355E-4</v>
      </c>
      <c r="H142" s="1113"/>
      <c r="I142" s="1113"/>
      <c r="J142" s="1113"/>
      <c r="K142" s="1113"/>
      <c r="L142" s="1113"/>
      <c r="M142" s="1113"/>
      <c r="N142" s="1113"/>
      <c r="O142" s="1113"/>
      <c r="P142" s="1113"/>
      <c r="Q142" s="1113"/>
      <c r="R142" s="1113"/>
      <c r="S142" s="1113"/>
      <c r="T142" s="1096"/>
      <c r="U142" s="1096"/>
      <c r="V142" s="1096"/>
      <c r="W142" s="1096"/>
      <c r="X142" s="1096"/>
      <c r="Y142" s="1096"/>
      <c r="Z142" s="1096"/>
      <c r="AA142" s="1096"/>
      <c r="AB142" s="1096"/>
      <c r="AC142" s="1096"/>
      <c r="AD142" s="1096"/>
      <c r="AE142" s="1096"/>
      <c r="AF142" s="1096"/>
      <c r="AG142" s="1096"/>
      <c r="AH142" s="1096"/>
      <c r="AI142" s="1096"/>
      <c r="AJ142" s="1096"/>
      <c r="AK142" s="1096"/>
      <c r="AL142" s="1096"/>
      <c r="AM142" s="1096"/>
      <c r="AN142" s="1096"/>
      <c r="AO142" s="1096"/>
      <c r="AP142" s="1096"/>
      <c r="AQ142" s="1096"/>
      <c r="AR142" s="1096"/>
      <c r="AS142" s="1096"/>
      <c r="AT142" s="1096"/>
      <c r="AU142" s="1096"/>
      <c r="AV142" s="1096"/>
      <c r="AW142" s="1096"/>
      <c r="AX142" s="1096"/>
      <c r="AY142" s="1096"/>
      <c r="AZ142" s="1096"/>
      <c r="BA142" s="1096"/>
      <c r="BB142" s="1096"/>
      <c r="BC142" s="1096"/>
      <c r="BD142" s="1096"/>
      <c r="BE142" s="1096"/>
      <c r="BF142" s="1096"/>
      <c r="BG142" s="1096"/>
      <c r="BH142" s="1096"/>
      <c r="BI142" s="1096"/>
      <c r="BJ142" s="1096"/>
      <c r="BK142" s="1096"/>
      <c r="BL142" s="1096"/>
      <c r="BM142" s="1096"/>
      <c r="BN142" s="1096"/>
      <c r="BO142" s="1096"/>
      <c r="BP142" s="1096"/>
      <c r="BQ142" s="1096"/>
      <c r="BR142" s="1096"/>
      <c r="BS142" s="1096"/>
      <c r="BT142" s="1096"/>
      <c r="BU142" s="1096"/>
    </row>
    <row r="143" spans="1:73" x14ac:dyDescent="0.25">
      <c r="A143" s="1096"/>
      <c r="B143" s="1096"/>
      <c r="C143" s="1120"/>
      <c r="D143" s="1100"/>
      <c r="E143" s="1113"/>
      <c r="F143" s="1113"/>
      <c r="G143" s="1113"/>
      <c r="H143" s="1113">
        <f t="shared" ref="H143:S143" ca="1" si="71">OFFSET(H$76,MATCH($C142,$N$101:$N$107,0)*3,0)</f>
        <v>7.7209143420055998E-2</v>
      </c>
      <c r="I143" s="1113">
        <f t="shared" ca="1" si="71"/>
        <v>1.0365687619318199E-2</v>
      </c>
      <c r="J143" s="1113">
        <f t="shared" ca="1" si="71"/>
        <v>1.3990529213133424E-2</v>
      </c>
      <c r="K143" s="1113">
        <f t="shared" ca="1" si="71"/>
        <v>4.7298690136872028E-4</v>
      </c>
      <c r="L143" s="1113">
        <f t="shared" ca="1" si="71"/>
        <v>7.1999712302870018E-4</v>
      </c>
      <c r="M143" s="1113">
        <f t="shared" ca="1" si="71"/>
        <v>7.292450376456043E-2</v>
      </c>
      <c r="N143" s="1113">
        <f t="shared" ca="1" si="71"/>
        <v>0.82436341620038445</v>
      </c>
      <c r="O143" s="1113">
        <f t="shared" ca="1" si="71"/>
        <v>0</v>
      </c>
      <c r="P143" s="1113">
        <f t="shared" ca="1" si="71"/>
        <v>9.210412262253069E-2</v>
      </c>
      <c r="Q143" s="1113">
        <f t="shared" ca="1" si="71"/>
        <v>4.9264456307007043E-2</v>
      </c>
      <c r="R143" s="1113">
        <f t="shared" ca="1" si="71"/>
        <v>8.0407437214150296E-3</v>
      </c>
      <c r="S143" s="1113">
        <f t="shared" ca="1" si="71"/>
        <v>1.9595948218963039E-3</v>
      </c>
      <c r="T143" s="1096"/>
      <c r="U143" s="1096"/>
      <c r="V143" s="1096"/>
      <c r="W143" s="1096"/>
      <c r="X143" s="1096"/>
      <c r="Y143" s="1096"/>
      <c r="Z143" s="1096"/>
      <c r="AA143" s="1096"/>
      <c r="AB143" s="1096"/>
      <c r="AC143" s="1096"/>
      <c r="AD143" s="1096"/>
      <c r="AE143" s="1096"/>
      <c r="AF143" s="1096"/>
      <c r="AG143" s="1096"/>
      <c r="AH143" s="1096"/>
      <c r="AI143" s="1096"/>
      <c r="AJ143" s="1096"/>
      <c r="AK143" s="1096"/>
      <c r="AL143" s="1096"/>
      <c r="AM143" s="1096"/>
      <c r="AN143" s="1096"/>
      <c r="AO143" s="1096"/>
      <c r="AP143" s="1096"/>
      <c r="AQ143" s="1096"/>
      <c r="AR143" s="1096"/>
      <c r="AS143" s="1096"/>
      <c r="AT143" s="1096"/>
      <c r="AU143" s="1096"/>
      <c r="AV143" s="1096"/>
      <c r="AW143" s="1096"/>
      <c r="AX143" s="1096"/>
      <c r="AY143" s="1096"/>
      <c r="AZ143" s="1096"/>
      <c r="BA143" s="1096"/>
      <c r="BB143" s="1096"/>
      <c r="BC143" s="1096"/>
      <c r="BD143" s="1096"/>
      <c r="BE143" s="1096"/>
      <c r="BF143" s="1096"/>
      <c r="BG143" s="1096"/>
      <c r="BH143" s="1096"/>
      <c r="BI143" s="1096"/>
      <c r="BJ143" s="1096"/>
      <c r="BK143" s="1096"/>
      <c r="BL143" s="1096"/>
      <c r="BM143" s="1096"/>
      <c r="BN143" s="1096"/>
      <c r="BO143" s="1096"/>
      <c r="BP143" s="1096"/>
      <c r="BQ143" s="1096"/>
      <c r="BR143" s="1096"/>
      <c r="BS143" s="1096"/>
      <c r="BT143" s="1096"/>
      <c r="BU143" s="1096"/>
    </row>
    <row r="144" spans="1:73" x14ac:dyDescent="0.25">
      <c r="A144" s="1096"/>
      <c r="B144" s="1096"/>
      <c r="C144" s="1120"/>
      <c r="D144" s="1100"/>
      <c r="E144" s="1113"/>
      <c r="F144" s="1113"/>
      <c r="G144" s="1113"/>
      <c r="H144" s="1113"/>
      <c r="I144" s="1113"/>
      <c r="J144" s="1113"/>
      <c r="K144" s="1113"/>
      <c r="L144" s="1113"/>
      <c r="M144" s="1113"/>
      <c r="N144" s="1113"/>
      <c r="O144" s="1113"/>
      <c r="P144" s="1113"/>
      <c r="Q144" s="1113"/>
      <c r="R144" s="1113"/>
      <c r="S144" s="1113"/>
      <c r="T144" s="1096"/>
      <c r="U144" s="1096"/>
      <c r="V144" s="1096"/>
      <c r="W144" s="1096"/>
      <c r="X144" s="1096"/>
      <c r="Y144" s="1096"/>
      <c r="Z144" s="1096"/>
      <c r="AA144" s="1096"/>
      <c r="AB144" s="1096"/>
      <c r="AC144" s="1096"/>
      <c r="AD144" s="1096"/>
      <c r="AE144" s="1096"/>
      <c r="AF144" s="1096"/>
      <c r="AG144" s="1096"/>
      <c r="AH144" s="1096"/>
      <c r="AI144" s="1096"/>
      <c r="AJ144" s="1096"/>
      <c r="AK144" s="1096"/>
      <c r="AL144" s="1096"/>
      <c r="AM144" s="1096"/>
      <c r="AN144" s="1096"/>
      <c r="AO144" s="1096"/>
      <c r="AP144" s="1096"/>
      <c r="AQ144" s="1096"/>
      <c r="AR144" s="1096"/>
      <c r="AS144" s="1096"/>
      <c r="AT144" s="1096"/>
      <c r="AU144" s="1096"/>
      <c r="AV144" s="1096"/>
      <c r="AW144" s="1096"/>
      <c r="AX144" s="1096"/>
      <c r="AY144" s="1096"/>
      <c r="AZ144" s="1096"/>
      <c r="BA144" s="1096"/>
      <c r="BB144" s="1096"/>
      <c r="BC144" s="1096"/>
      <c r="BD144" s="1096"/>
      <c r="BE144" s="1096"/>
      <c r="BF144" s="1096"/>
      <c r="BG144" s="1096"/>
      <c r="BH144" s="1096"/>
      <c r="BI144" s="1096"/>
      <c r="BJ144" s="1096"/>
      <c r="BK144" s="1096"/>
      <c r="BL144" s="1096"/>
      <c r="BM144" s="1096"/>
      <c r="BN144" s="1096"/>
      <c r="BO144" s="1096"/>
      <c r="BP144" s="1096"/>
      <c r="BQ144" s="1096"/>
      <c r="BR144" s="1096"/>
      <c r="BS144" s="1096"/>
      <c r="BT144" s="1096"/>
      <c r="BU144" s="1096"/>
    </row>
    <row r="145" spans="1:73" x14ac:dyDescent="0.25">
      <c r="A145" s="1096"/>
      <c r="B145" s="1096"/>
      <c r="C145" s="1120">
        <v>7</v>
      </c>
      <c r="D145" s="1100" t="str">
        <f t="shared" ref="D145:G145" ca="1" si="72">OFFSET(D$76,MATCH($C145,$N$101:$N$107,0)*3-2,0)</f>
        <v>Utilities Consumption (% of baseline) = 95%</v>
      </c>
      <c r="E145" s="1113">
        <f t="shared" ca="1" si="72"/>
        <v>1.146163411082268</v>
      </c>
      <c r="F145" s="1113">
        <f t="shared" ca="1" si="72"/>
        <v>0</v>
      </c>
      <c r="G145" s="1113">
        <f t="shared" ca="1" si="72"/>
        <v>8.00769901059783E-4</v>
      </c>
      <c r="H145" s="1113"/>
      <c r="I145" s="1113"/>
      <c r="J145" s="1113"/>
      <c r="K145" s="1113"/>
      <c r="L145" s="1113"/>
      <c r="M145" s="1113"/>
      <c r="N145" s="1113"/>
      <c r="O145" s="1113"/>
      <c r="P145" s="1113"/>
      <c r="Q145" s="1113"/>
      <c r="R145" s="1113"/>
      <c r="S145" s="1113"/>
      <c r="T145" s="1096"/>
      <c r="U145" s="1096"/>
      <c r="V145" s="1096"/>
      <c r="W145" s="1096"/>
      <c r="X145" s="1096"/>
      <c r="Y145" s="1096"/>
      <c r="Z145" s="1096"/>
      <c r="AA145" s="1096"/>
      <c r="AB145" s="1096"/>
      <c r="AC145" s="1096"/>
      <c r="AD145" s="1096"/>
      <c r="AE145" s="1096"/>
      <c r="AF145" s="1096"/>
      <c r="AG145" s="1096"/>
      <c r="AH145" s="1096"/>
      <c r="AI145" s="1096"/>
      <c r="AJ145" s="1096"/>
      <c r="AK145" s="1096"/>
      <c r="AL145" s="1096"/>
      <c r="AM145" s="1096"/>
      <c r="AN145" s="1096"/>
      <c r="AO145" s="1096"/>
      <c r="AP145" s="1096"/>
      <c r="AQ145" s="1096"/>
      <c r="AR145" s="1096"/>
      <c r="AS145" s="1096"/>
      <c r="AT145" s="1096"/>
      <c r="AU145" s="1096"/>
      <c r="AV145" s="1096"/>
      <c r="AW145" s="1096"/>
      <c r="AX145" s="1096"/>
      <c r="AY145" s="1096"/>
      <c r="AZ145" s="1096"/>
      <c r="BA145" s="1096"/>
      <c r="BB145" s="1096"/>
      <c r="BC145" s="1096"/>
      <c r="BD145" s="1096"/>
      <c r="BE145" s="1096"/>
      <c r="BF145" s="1096"/>
      <c r="BG145" s="1096"/>
      <c r="BH145" s="1096"/>
      <c r="BI145" s="1096"/>
      <c r="BJ145" s="1096"/>
      <c r="BK145" s="1096"/>
      <c r="BL145" s="1096"/>
      <c r="BM145" s="1096"/>
      <c r="BN145" s="1096"/>
      <c r="BO145" s="1096"/>
      <c r="BP145" s="1096"/>
      <c r="BQ145" s="1096"/>
      <c r="BR145" s="1096"/>
      <c r="BS145" s="1096"/>
      <c r="BT145" s="1096"/>
      <c r="BU145" s="1096"/>
    </row>
    <row r="146" spans="1:73" x14ac:dyDescent="0.25">
      <c r="A146" s="1096"/>
      <c r="B146" s="1096"/>
      <c r="C146" s="1120"/>
      <c r="D146" s="1100"/>
      <c r="E146" s="1113"/>
      <c r="F146" s="1113"/>
      <c r="G146" s="1113"/>
      <c r="H146" s="1113">
        <f t="shared" ref="H146:S146" ca="1" si="73">OFFSET(H$76,MATCH($C145,$N$101:$N$107,0)*3-2,0)</f>
        <v>7.368822645034942E-2</v>
      </c>
      <c r="I146" s="1113">
        <f t="shared" ca="1" si="73"/>
        <v>1.0349261193574029E-2</v>
      </c>
      <c r="J146" s="1113">
        <f t="shared" ca="1" si="73"/>
        <v>1.3503222140607963E-2</v>
      </c>
      <c r="K146" s="1113">
        <f t="shared" ca="1" si="73"/>
        <v>4.493979107675744E-4</v>
      </c>
      <c r="L146" s="1113">
        <f t="shared" ca="1" si="73"/>
        <v>7.9899639237872733E-4</v>
      </c>
      <c r="M146" s="1113">
        <f t="shared" ca="1" si="73"/>
        <v>7.2865532650274817E-2</v>
      </c>
      <c r="N146" s="1113">
        <f t="shared" ca="1" si="73"/>
        <v>0.82763314128326659</v>
      </c>
      <c r="O146" s="1113">
        <f t="shared" ca="1" si="73"/>
        <v>0</v>
      </c>
      <c r="P146" s="1113">
        <f t="shared" ca="1" si="73"/>
        <v>8.9958006926558115E-2</v>
      </c>
      <c r="Q146" s="1113">
        <f t="shared" ca="1" si="73"/>
        <v>4.8408155517525683E-2</v>
      </c>
      <c r="R146" s="1113">
        <f t="shared" ca="1" si="73"/>
        <v>7.1356357270595042E-3</v>
      </c>
      <c r="S146" s="1113">
        <f t="shared" ca="1" si="73"/>
        <v>2.1746047909649352E-3</v>
      </c>
      <c r="T146" s="1096"/>
      <c r="U146" s="1096"/>
      <c r="V146" s="1096"/>
      <c r="W146" s="1096"/>
      <c r="X146" s="1096"/>
      <c r="Y146" s="1096"/>
      <c r="Z146" s="1096"/>
      <c r="AA146" s="1096"/>
      <c r="AB146" s="1096"/>
      <c r="AC146" s="1096"/>
      <c r="AD146" s="1096"/>
      <c r="AE146" s="1096"/>
      <c r="AF146" s="1096"/>
      <c r="AG146" s="1096"/>
      <c r="AH146" s="1096"/>
      <c r="AI146" s="1096"/>
      <c r="AJ146" s="1096"/>
      <c r="AK146" s="1096"/>
      <c r="AL146" s="1096"/>
      <c r="AM146" s="1096"/>
      <c r="AN146" s="1096"/>
      <c r="AO146" s="1096"/>
      <c r="AP146" s="1096"/>
      <c r="AQ146" s="1096"/>
      <c r="AR146" s="1096"/>
      <c r="AS146" s="1096"/>
      <c r="AT146" s="1096"/>
      <c r="AU146" s="1096"/>
      <c r="AV146" s="1096"/>
      <c r="AW146" s="1096"/>
      <c r="AX146" s="1096"/>
      <c r="AY146" s="1096"/>
      <c r="AZ146" s="1096"/>
      <c r="BA146" s="1096"/>
      <c r="BB146" s="1096"/>
      <c r="BC146" s="1096"/>
      <c r="BD146" s="1096"/>
      <c r="BE146" s="1096"/>
      <c r="BF146" s="1096"/>
      <c r="BG146" s="1096"/>
      <c r="BH146" s="1096"/>
      <c r="BI146" s="1096"/>
      <c r="BJ146" s="1096"/>
      <c r="BK146" s="1096"/>
      <c r="BL146" s="1096"/>
      <c r="BM146" s="1096"/>
      <c r="BN146" s="1096"/>
      <c r="BO146" s="1096"/>
      <c r="BP146" s="1096"/>
      <c r="BQ146" s="1096"/>
      <c r="BR146" s="1096"/>
      <c r="BS146" s="1096"/>
      <c r="BT146" s="1096"/>
      <c r="BU146" s="1096"/>
    </row>
    <row r="147" spans="1:73" x14ac:dyDescent="0.25">
      <c r="A147" s="1096"/>
      <c r="B147" s="1096"/>
      <c r="C147" s="1120">
        <v>7</v>
      </c>
      <c r="D147" s="1100" t="str">
        <f t="shared" ref="D147:G147" ca="1" si="74">OFFSET(D$76,MATCH($C147,$N$101:$N$107,0)*3,0)</f>
        <v>Utilities Consumption (% of baseline) = 105%</v>
      </c>
      <c r="E147" s="1113">
        <f t="shared" ca="1" si="74"/>
        <v>1.1505172776969557</v>
      </c>
      <c r="F147" s="1113">
        <f t="shared" ca="1" si="74"/>
        <v>0</v>
      </c>
      <c r="G147" s="1113">
        <f t="shared" ca="1" si="74"/>
        <v>8.00769901059783E-4</v>
      </c>
      <c r="H147" s="1113"/>
      <c r="I147" s="1113"/>
      <c r="J147" s="1113"/>
      <c r="K147" s="1113"/>
      <c r="L147" s="1113"/>
      <c r="M147" s="1113"/>
      <c r="N147" s="1113"/>
      <c r="O147" s="1113"/>
      <c r="P147" s="1113"/>
      <c r="Q147" s="1113"/>
      <c r="R147" s="1113"/>
      <c r="S147" s="1113"/>
      <c r="T147" s="1096"/>
      <c r="U147" s="1096"/>
      <c r="V147" s="1096"/>
      <c r="W147" s="1096"/>
      <c r="X147" s="1096"/>
      <c r="Y147" s="1096"/>
      <c r="Z147" s="1096"/>
      <c r="AA147" s="1096"/>
      <c r="AB147" s="1096"/>
      <c r="AC147" s="1096"/>
      <c r="AD147" s="1096"/>
      <c r="AE147" s="1096"/>
      <c r="AF147" s="1096"/>
      <c r="AG147" s="1096"/>
      <c r="AH147" s="1096"/>
      <c r="AI147" s="1096"/>
      <c r="AJ147" s="1096"/>
      <c r="AK147" s="1096"/>
      <c r="AL147" s="1096"/>
      <c r="AM147" s="1096"/>
      <c r="AN147" s="1096"/>
      <c r="AO147" s="1096"/>
      <c r="AP147" s="1096"/>
      <c r="AQ147" s="1096"/>
      <c r="AR147" s="1096"/>
      <c r="AS147" s="1096"/>
      <c r="AT147" s="1096"/>
      <c r="AU147" s="1096"/>
      <c r="AV147" s="1096"/>
      <c r="AW147" s="1096"/>
      <c r="AX147" s="1096"/>
      <c r="AY147" s="1096"/>
      <c r="AZ147" s="1096"/>
      <c r="BA147" s="1096"/>
      <c r="BB147" s="1096"/>
      <c r="BC147" s="1096"/>
      <c r="BD147" s="1096"/>
      <c r="BE147" s="1096"/>
      <c r="BF147" s="1096"/>
      <c r="BG147" s="1096"/>
      <c r="BH147" s="1096"/>
      <c r="BI147" s="1096"/>
      <c r="BJ147" s="1096"/>
      <c r="BK147" s="1096"/>
      <c r="BL147" s="1096"/>
      <c r="BM147" s="1096"/>
      <c r="BN147" s="1096"/>
      <c r="BO147" s="1096"/>
      <c r="BP147" s="1096"/>
      <c r="BQ147" s="1096"/>
      <c r="BR147" s="1096"/>
      <c r="BS147" s="1096"/>
      <c r="BT147" s="1096"/>
      <c r="BU147" s="1096"/>
    </row>
    <row r="148" spans="1:73" x14ac:dyDescent="0.25">
      <c r="A148" s="1096"/>
      <c r="B148" s="1096"/>
      <c r="C148" s="1100"/>
      <c r="D148" s="1100"/>
      <c r="E148" s="1100"/>
      <c r="F148" s="1100"/>
      <c r="G148" s="1100"/>
      <c r="H148" s="1113">
        <f t="shared" ref="H148:S148" ca="1" si="75">OFFSET(H$76,MATCH($C147,$N$101:$N$107,0)*3,0)</f>
        <v>7.368822645034942E-2</v>
      </c>
      <c r="I148" s="1113">
        <f t="shared" ca="1" si="75"/>
        <v>1.0349261193574029E-2</v>
      </c>
      <c r="J148" s="1113">
        <f t="shared" ca="1" si="75"/>
        <v>1.356154733071668E-2</v>
      </c>
      <c r="K148" s="1113">
        <f t="shared" ca="1" si="75"/>
        <v>4.493979107675744E-4</v>
      </c>
      <c r="L148" s="1113">
        <f t="shared" ca="1" si="75"/>
        <v>7.9899639237872733E-4</v>
      </c>
      <c r="M148" s="1113">
        <f t="shared" ca="1" si="75"/>
        <v>7.2865532650274817E-2</v>
      </c>
      <c r="N148" s="1113">
        <f t="shared" ca="1" si="75"/>
        <v>0.82763314128326659</v>
      </c>
      <c r="O148" s="1113">
        <f t="shared" ca="1" si="75"/>
        <v>0</v>
      </c>
      <c r="P148" s="1113">
        <f t="shared" ca="1" si="75"/>
        <v>9.4233331674683479E-2</v>
      </c>
      <c r="Q148" s="1113">
        <f t="shared" ca="1" si="75"/>
        <v>4.8408155517525683E-2</v>
      </c>
      <c r="R148" s="1113">
        <f t="shared" ca="1" si="75"/>
        <v>7.1558524035126034E-3</v>
      </c>
      <c r="S148" s="1113">
        <f t="shared" ca="1" si="75"/>
        <v>2.1746047909649352E-3</v>
      </c>
      <c r="T148" s="1096"/>
      <c r="U148" s="1096"/>
      <c r="V148" s="1096"/>
      <c r="W148" s="1096"/>
      <c r="X148" s="1096"/>
      <c r="Y148" s="1096"/>
      <c r="Z148" s="1096"/>
      <c r="AA148" s="1096"/>
      <c r="AB148" s="1096"/>
      <c r="AC148" s="1096"/>
      <c r="AD148" s="1096"/>
      <c r="AE148" s="1096"/>
      <c r="AF148" s="1096"/>
      <c r="AG148" s="1096"/>
      <c r="AH148" s="1096"/>
      <c r="AI148" s="1096"/>
      <c r="AJ148" s="1096"/>
      <c r="AK148" s="1096"/>
      <c r="AL148" s="1096"/>
      <c r="AM148" s="1096"/>
      <c r="AN148" s="1096"/>
      <c r="AO148" s="1096"/>
      <c r="AP148" s="1096"/>
      <c r="AQ148" s="1096"/>
      <c r="AR148" s="1096"/>
      <c r="AS148" s="1096"/>
      <c r="AT148" s="1096"/>
      <c r="AU148" s="1096"/>
      <c r="AV148" s="1096"/>
      <c r="AW148" s="1096"/>
      <c r="AX148" s="1096"/>
      <c r="AY148" s="1096"/>
      <c r="AZ148" s="1096"/>
      <c r="BA148" s="1096"/>
      <c r="BB148" s="1096"/>
      <c r="BC148" s="1096"/>
      <c r="BD148" s="1096"/>
      <c r="BE148" s="1096"/>
      <c r="BF148" s="1096"/>
      <c r="BG148" s="1096"/>
      <c r="BH148" s="1096"/>
      <c r="BI148" s="1096"/>
      <c r="BJ148" s="1096"/>
      <c r="BK148" s="1096"/>
      <c r="BL148" s="1096"/>
      <c r="BM148" s="1096"/>
      <c r="BN148" s="1096"/>
      <c r="BO148" s="1096"/>
      <c r="BP148" s="1096"/>
      <c r="BQ148" s="1096"/>
      <c r="BR148" s="1096"/>
      <c r="BS148" s="1096"/>
      <c r="BT148" s="1096"/>
      <c r="BU148" s="1096"/>
    </row>
    <row r="149" spans="1:73" x14ac:dyDescent="0.25">
      <c r="A149" s="1096"/>
      <c r="B149" s="1096"/>
      <c r="C149" s="1096"/>
      <c r="D149" s="1096"/>
      <c r="E149" s="1096"/>
      <c r="F149" s="1096"/>
      <c r="G149" s="1096"/>
      <c r="H149" s="1096"/>
      <c r="I149" s="1096"/>
      <c r="J149" s="1096"/>
      <c r="K149" s="1096"/>
      <c r="L149" s="1096"/>
      <c r="M149" s="1096"/>
      <c r="N149" s="1096"/>
      <c r="O149" s="1096"/>
      <c r="P149" s="1096"/>
      <c r="Q149" s="1096"/>
      <c r="R149" s="1096"/>
      <c r="S149" s="1096"/>
      <c r="T149" s="1096"/>
      <c r="U149" s="1096"/>
      <c r="V149" s="1096"/>
      <c r="W149" s="1096"/>
      <c r="X149" s="1096"/>
      <c r="Y149" s="1096"/>
      <c r="Z149" s="1096"/>
      <c r="AA149" s="1096"/>
      <c r="AB149" s="1096"/>
      <c r="AC149" s="1096"/>
      <c r="AD149" s="1096"/>
      <c r="AE149" s="1096"/>
      <c r="AF149" s="1096"/>
      <c r="AG149" s="1096"/>
      <c r="AH149" s="1096"/>
      <c r="AI149" s="1096"/>
      <c r="AJ149" s="1096"/>
      <c r="AK149" s="1096"/>
      <c r="AL149" s="1096"/>
      <c r="AM149" s="1096"/>
      <c r="AN149" s="1096"/>
      <c r="AO149" s="1096"/>
      <c r="AP149" s="1096"/>
      <c r="AQ149" s="1096"/>
      <c r="AR149" s="1096"/>
      <c r="AS149" s="1096"/>
      <c r="AT149" s="1096"/>
      <c r="AU149" s="1096"/>
      <c r="AV149" s="1096"/>
      <c r="AW149" s="1096"/>
      <c r="AX149" s="1096"/>
      <c r="AY149" s="1096"/>
      <c r="AZ149" s="1096"/>
      <c r="BA149" s="1096"/>
      <c r="BB149" s="1096"/>
      <c r="BC149" s="1096"/>
      <c r="BD149" s="1096"/>
      <c r="BE149" s="1096"/>
      <c r="BF149" s="1096"/>
      <c r="BG149" s="1096"/>
      <c r="BH149" s="1096"/>
      <c r="BI149" s="1096"/>
      <c r="BJ149" s="1096"/>
      <c r="BK149" s="1096"/>
      <c r="BL149" s="1096"/>
      <c r="BM149" s="1096"/>
      <c r="BN149" s="1096"/>
      <c r="BO149" s="1096"/>
      <c r="BP149" s="1096"/>
      <c r="BQ149" s="1096"/>
      <c r="BR149" s="1096"/>
      <c r="BS149" s="1096"/>
      <c r="BT149" s="1096"/>
      <c r="BU149" s="1096"/>
    </row>
    <row r="150" spans="1:73" x14ac:dyDescent="0.25">
      <c r="A150" s="1096"/>
      <c r="B150" s="1096"/>
      <c r="C150" s="1096"/>
      <c r="D150" s="1096"/>
      <c r="E150" s="1096"/>
      <c r="F150" s="1096"/>
      <c r="G150" s="1096"/>
      <c r="H150" s="1096"/>
      <c r="I150" s="1096"/>
      <c r="J150" s="1096"/>
      <c r="K150" s="1096"/>
      <c r="L150" s="1096"/>
      <c r="M150" s="1096"/>
      <c r="N150" s="1096"/>
      <c r="O150" s="1096"/>
      <c r="P150" s="1096"/>
      <c r="Q150" s="1096"/>
      <c r="R150" s="1096"/>
      <c r="S150" s="1096"/>
      <c r="T150" s="1096"/>
      <c r="U150" s="1096"/>
      <c r="V150" s="1096"/>
      <c r="W150" s="1096"/>
      <c r="X150" s="1096"/>
      <c r="Y150" s="1096"/>
      <c r="Z150" s="1096"/>
      <c r="AA150" s="1096"/>
      <c r="AB150" s="1096"/>
      <c r="AC150" s="1096"/>
      <c r="AD150" s="1096"/>
      <c r="AE150" s="1096"/>
      <c r="AF150" s="1096"/>
      <c r="AG150" s="1096"/>
      <c r="AH150" s="1096"/>
      <c r="AI150" s="1096"/>
      <c r="AJ150" s="1096"/>
      <c r="AK150" s="1096"/>
      <c r="AL150" s="1096"/>
      <c r="AM150" s="1096"/>
      <c r="AN150" s="1096"/>
      <c r="AO150" s="1096"/>
      <c r="AP150" s="1096"/>
      <c r="AQ150" s="1096"/>
      <c r="AR150" s="1096"/>
      <c r="AS150" s="1096"/>
      <c r="AT150" s="1096"/>
      <c r="AU150" s="1096"/>
      <c r="AV150" s="1096"/>
      <c r="AW150" s="1096"/>
      <c r="AX150" s="1096"/>
      <c r="AY150" s="1096"/>
      <c r="AZ150" s="1096"/>
      <c r="BA150" s="1096"/>
      <c r="BB150" s="1096"/>
      <c r="BC150" s="1096"/>
      <c r="BD150" s="1096"/>
      <c r="BE150" s="1096"/>
      <c r="BF150" s="1096"/>
      <c r="BG150" s="1096"/>
      <c r="BH150" s="1096"/>
      <c r="BI150" s="1096"/>
      <c r="BJ150" s="1096"/>
      <c r="BK150" s="1096"/>
      <c r="BL150" s="1096"/>
      <c r="BM150" s="1096"/>
      <c r="BN150" s="1096"/>
      <c r="BO150" s="1096"/>
      <c r="BP150" s="1096"/>
      <c r="BQ150" s="1096"/>
      <c r="BR150" s="1096"/>
      <c r="BS150" s="1096"/>
      <c r="BT150" s="1096"/>
      <c r="BU150" s="1096"/>
    </row>
    <row r="151" spans="1:73" x14ac:dyDescent="0.25">
      <c r="A151" s="1096"/>
      <c r="B151" s="1096"/>
      <c r="C151" s="1096"/>
      <c r="D151" s="1096"/>
      <c r="E151" s="1096"/>
      <c r="F151" s="1096"/>
      <c r="G151" s="1096"/>
      <c r="H151" s="1096"/>
      <c r="I151" s="1096"/>
      <c r="J151" s="1096"/>
      <c r="K151" s="1096"/>
      <c r="L151" s="1096"/>
      <c r="M151" s="1096"/>
      <c r="N151" s="1096"/>
      <c r="O151" s="1096"/>
      <c r="P151" s="1096"/>
      <c r="Q151" s="1096"/>
      <c r="R151" s="1096"/>
      <c r="S151" s="1096"/>
      <c r="T151" s="1096"/>
      <c r="U151" s="1096"/>
      <c r="V151" s="1096"/>
      <c r="W151" s="1096"/>
      <c r="X151" s="1096"/>
      <c r="Y151" s="1096"/>
      <c r="Z151" s="1096"/>
      <c r="AA151" s="1096"/>
      <c r="AB151" s="1096"/>
      <c r="AC151" s="1096"/>
      <c r="AD151" s="1096"/>
      <c r="AE151" s="1096"/>
      <c r="AF151" s="1096"/>
      <c r="AG151" s="1096"/>
      <c r="AH151" s="1096"/>
      <c r="AI151" s="1096"/>
      <c r="AJ151" s="1096"/>
      <c r="AK151" s="1096"/>
      <c r="AL151" s="1096"/>
      <c r="AM151" s="1096"/>
      <c r="AN151" s="1096"/>
      <c r="AO151" s="1096"/>
      <c r="AP151" s="1096"/>
      <c r="AQ151" s="1096"/>
      <c r="AR151" s="1096"/>
      <c r="AS151" s="1096"/>
    </row>
    <row r="152" spans="1:73" ht="13" x14ac:dyDescent="0.3">
      <c r="A152" s="1096"/>
      <c r="B152" s="1098" t="s">
        <v>1162</v>
      </c>
      <c r="C152" s="1096"/>
      <c r="D152" s="1096"/>
      <c r="E152" s="1096"/>
      <c r="F152" s="1096"/>
      <c r="G152" s="1096"/>
      <c r="H152" s="1096"/>
      <c r="I152" s="1096"/>
      <c r="J152" s="1096"/>
      <c r="K152" s="1096"/>
      <c r="L152" s="1096"/>
      <c r="M152" s="1096"/>
      <c r="N152" s="1096"/>
      <c r="O152" s="1096"/>
      <c r="P152" s="1096"/>
      <c r="Q152" s="1096"/>
      <c r="R152" s="1096"/>
      <c r="S152" s="1096"/>
      <c r="T152" s="1096"/>
      <c r="U152" s="1096"/>
      <c r="V152" s="1096"/>
      <c r="W152" s="1096"/>
      <c r="X152" s="1096"/>
      <c r="Y152" s="1096"/>
      <c r="Z152" s="1096"/>
      <c r="AA152" s="1096"/>
      <c r="AB152" s="1096"/>
      <c r="AC152" s="1096"/>
      <c r="AD152" s="1096"/>
      <c r="AE152" s="1096"/>
      <c r="AF152" s="1096"/>
      <c r="AG152" s="1096"/>
      <c r="AH152" s="1096"/>
      <c r="AI152" s="1096"/>
      <c r="AJ152" s="1096"/>
      <c r="AK152" s="1096"/>
      <c r="AL152" s="1096"/>
      <c r="AM152" s="1096"/>
      <c r="AN152" s="1096"/>
      <c r="AO152" s="1096"/>
      <c r="AP152" s="1096"/>
      <c r="AQ152" s="1096"/>
      <c r="AR152" s="1096"/>
      <c r="AS152" s="1096"/>
    </row>
    <row r="153" spans="1:73" ht="13" x14ac:dyDescent="0.3">
      <c r="A153" s="1096"/>
      <c r="B153" s="1096"/>
      <c r="C153" s="1096"/>
      <c r="D153" s="1107" t="s">
        <v>1166</v>
      </c>
      <c r="E153" s="1107"/>
      <c r="F153" s="1107"/>
      <c r="G153" s="1107"/>
      <c r="H153" s="1107"/>
      <c r="I153" s="1107"/>
      <c r="J153" s="1096"/>
      <c r="K153" s="1096"/>
      <c r="L153" s="1096"/>
      <c r="M153" s="1096"/>
      <c r="N153" s="1096"/>
      <c r="O153" s="1096"/>
      <c r="P153" s="1096"/>
      <c r="Q153" s="1096"/>
      <c r="R153" s="1096"/>
      <c r="S153" s="1096"/>
      <c r="T153" s="1096"/>
      <c r="U153" s="1096"/>
      <c r="V153" s="1096"/>
      <c r="W153" s="1096"/>
      <c r="X153" s="1096"/>
      <c r="Y153" s="1096"/>
      <c r="Z153" s="1096"/>
      <c r="AA153" s="1096"/>
      <c r="AB153" s="1096"/>
      <c r="AC153" s="1096"/>
      <c r="AD153" s="1096"/>
      <c r="AE153" s="1096"/>
      <c r="AF153" s="1096"/>
      <c r="AG153" s="1096"/>
      <c r="AH153" s="1096"/>
      <c r="AI153" s="1096"/>
      <c r="AJ153" s="1096"/>
      <c r="AK153" s="1096"/>
      <c r="AL153" s="1096"/>
      <c r="AM153" s="1096"/>
      <c r="AN153" s="1096"/>
      <c r="AO153" s="1096"/>
      <c r="AP153" s="1096"/>
      <c r="AQ153" s="1096"/>
      <c r="AR153" s="1096"/>
      <c r="AS153" s="1096"/>
    </row>
    <row r="154" spans="1:73" ht="26" x14ac:dyDescent="0.3">
      <c r="A154" s="1096"/>
      <c r="B154" s="1098"/>
      <c r="C154" s="1096"/>
      <c r="D154" s="1107" t="s">
        <v>1165</v>
      </c>
      <c r="E154" s="1107" t="s">
        <v>1171</v>
      </c>
      <c r="F154" s="1107" t="s">
        <v>1167</v>
      </c>
      <c r="G154" s="1107" t="s">
        <v>1168</v>
      </c>
      <c r="H154" s="1107" t="s">
        <v>1169</v>
      </c>
      <c r="I154" s="1107" t="s">
        <v>1170</v>
      </c>
      <c r="J154" s="1096"/>
      <c r="K154" s="1107" t="s">
        <v>1200</v>
      </c>
      <c r="L154" s="1107" t="s">
        <v>1198</v>
      </c>
      <c r="M154" s="1107" t="s">
        <v>1199</v>
      </c>
      <c r="N154" s="1107" t="s">
        <v>1201</v>
      </c>
      <c r="O154" s="1096"/>
      <c r="P154" s="1096"/>
      <c r="Q154" s="1096"/>
      <c r="R154" s="1096"/>
      <c r="S154" s="1096"/>
      <c r="T154" s="1096"/>
      <c r="U154" s="1096"/>
      <c r="V154" s="1096"/>
      <c r="W154" s="1096"/>
      <c r="X154" s="1096"/>
      <c r="Y154" s="1096"/>
      <c r="Z154" s="1096"/>
      <c r="AA154" s="1096"/>
      <c r="AB154" s="1096"/>
      <c r="AC154" s="1096"/>
      <c r="AD154" s="1096"/>
      <c r="AE154" s="1096"/>
      <c r="AF154" s="1096"/>
      <c r="AG154" s="1096"/>
      <c r="AH154" s="1096"/>
      <c r="AI154" s="1096"/>
      <c r="AJ154" s="1096"/>
      <c r="AK154" s="1096"/>
      <c r="AL154" s="1096"/>
      <c r="AM154" s="1096"/>
      <c r="AN154" s="1096"/>
      <c r="AO154" s="1096"/>
      <c r="AP154" s="1096"/>
      <c r="AQ154" s="1096"/>
      <c r="AR154" s="1096"/>
      <c r="AS154" s="1096"/>
    </row>
    <row r="155" spans="1:73" ht="13" x14ac:dyDescent="0.3">
      <c r="A155" s="1096"/>
      <c r="B155" s="1098" t="s">
        <v>1164</v>
      </c>
      <c r="C155" s="1096">
        <v>1</v>
      </c>
      <c r="D155" s="1099" t="s">
        <v>1179</v>
      </c>
      <c r="E155" s="1113">
        <f ca="1">+K48+C155/10000000000</f>
        <v>1.1483403444896121</v>
      </c>
      <c r="F155" s="1100">
        <f ca="1">+RANK(E155,$E$155:$E$157)</f>
        <v>1</v>
      </c>
      <c r="G155" s="1105">
        <v>1</v>
      </c>
      <c r="H155" s="1100" t="str">
        <f ca="1">OFFSET($D$154,MATCH($G155,$F$155:$F$157,0),0)</f>
        <v>Cost of Hydrogen</v>
      </c>
      <c r="I155" s="1115">
        <f ca="1">OFFSET($E$154,MATCH($G155,$F$155:$F$157,0),0)-OFFSET($C$154,MATCH($G155,$F$155:$F$157,0),0)/10000000000</f>
        <v>1.1483403443896121</v>
      </c>
      <c r="J155" s="1096"/>
      <c r="K155" s="1100" t="str">
        <f ca="1">+H155</f>
        <v>Cost of Hydrogen</v>
      </c>
      <c r="L155" s="1113">
        <f ca="1">+I155</f>
        <v>1.1483403443896121</v>
      </c>
      <c r="M155" s="1100"/>
      <c r="N155" s="1100" t="str">
        <f ca="1">+IF(L155&gt;0,K155,"")</f>
        <v>Cost of Hydrogen</v>
      </c>
      <c r="O155" s="1096"/>
      <c r="P155" s="1096"/>
      <c r="Q155" s="1096"/>
      <c r="R155" s="1096"/>
      <c r="S155" s="1096"/>
      <c r="T155" s="1096"/>
      <c r="U155" s="1096"/>
      <c r="V155" s="1096"/>
      <c r="W155" s="1096"/>
      <c r="X155" s="1096"/>
      <c r="Y155" s="1096"/>
      <c r="Z155" s="1096"/>
      <c r="AA155" s="1096"/>
      <c r="AB155" s="1096"/>
      <c r="AC155" s="1096"/>
      <c r="AD155" s="1096"/>
      <c r="AE155" s="1096"/>
      <c r="AF155" s="1096"/>
      <c r="AG155" s="1096"/>
      <c r="AH155" s="1096"/>
      <c r="AI155" s="1096"/>
      <c r="AJ155" s="1096"/>
    </row>
    <row r="156" spans="1:73" ht="13" x14ac:dyDescent="0.3">
      <c r="A156" s="1096"/>
      <c r="B156" s="1098"/>
      <c r="C156" s="1096">
        <v>2</v>
      </c>
      <c r="D156" s="1100" t="str">
        <f>+F110</f>
        <v>Byproduct Sales</v>
      </c>
      <c r="E156" s="1113">
        <f ca="1">+L48+C156/10000000000</f>
        <v>2.0000000000000001E-10</v>
      </c>
      <c r="F156" s="1100">
        <f ca="1">+RANK(E156,$E$155:$E$157)</f>
        <v>3</v>
      </c>
      <c r="G156" s="1105">
        <v>2</v>
      </c>
      <c r="H156" s="1100" t="str">
        <f ca="1">OFFSET($D$154,MATCH($G156,$F$155:$F$157,0),0)</f>
        <v>Salvage Value</v>
      </c>
      <c r="I156" s="1115">
        <f ca="1">OFFSET($E$154,MATCH($G156,$F$155:$F$157,0),0)-OFFSET($C$154,MATCH($G156,$F$155:$F$157,0),0)/10000000000</f>
        <v>8.00769901059783E-4</v>
      </c>
      <c r="J156" s="1096"/>
      <c r="K156" s="1100" t="str">
        <f t="shared" ref="K156:K170" ca="1" si="76">+H156</f>
        <v>Salvage Value</v>
      </c>
      <c r="L156" s="1113">
        <f t="shared" ref="L156:L157" ca="1" si="77">+I156</f>
        <v>8.00769901059783E-4</v>
      </c>
      <c r="M156" s="1100"/>
      <c r="N156" s="1100" t="str">
        <f t="shared" ref="N156:N157" ca="1" si="78">+IF(L156&gt;0,K156,"")</f>
        <v>Salvage Value</v>
      </c>
      <c r="O156" s="1096"/>
      <c r="P156" s="1096"/>
      <c r="Q156" s="1096"/>
      <c r="R156" s="1096"/>
      <c r="S156" s="1096"/>
      <c r="T156" s="1096"/>
      <c r="U156" s="1096"/>
      <c r="V156" s="1096"/>
      <c r="W156" s="1096"/>
      <c r="X156" s="1096"/>
      <c r="Y156" s="1096"/>
      <c r="Z156" s="1096"/>
      <c r="AA156" s="1096"/>
      <c r="AB156" s="1096"/>
      <c r="AC156" s="1096"/>
      <c r="AD156" s="1096"/>
      <c r="AE156" s="1096"/>
      <c r="AF156" s="1096"/>
      <c r="AG156" s="1096"/>
      <c r="AH156" s="1096"/>
      <c r="AI156" s="1096"/>
      <c r="AJ156" s="1096"/>
    </row>
    <row r="157" spans="1:73" ht="13" x14ac:dyDescent="0.3">
      <c r="A157" s="1096"/>
      <c r="B157" s="1098"/>
      <c r="C157" s="1096">
        <v>3</v>
      </c>
      <c r="D157" s="1100" t="str">
        <f>+G110</f>
        <v>Salvage Value</v>
      </c>
      <c r="E157" s="1113">
        <f ca="1">+M48+C157/10000000000</f>
        <v>8.0077020105978299E-4</v>
      </c>
      <c r="F157" s="1100">
        <f ca="1">+RANK(E157,$E$155:$E$157)</f>
        <v>2</v>
      </c>
      <c r="G157" s="1105">
        <v>3</v>
      </c>
      <c r="H157" s="1100" t="str">
        <f ca="1">OFFSET($D$154,MATCH($G157,$F$155:$F$157,0),0)</f>
        <v>Byproduct Sales</v>
      </c>
      <c r="I157" s="1115">
        <f ca="1">OFFSET($E$154,MATCH($G157,$F$155:$F$157,0),0)-OFFSET($C$154,MATCH($G157,$F$155:$F$157,0),0)/10000000000</f>
        <v>0</v>
      </c>
      <c r="J157" s="1096"/>
      <c r="K157" s="1100" t="str">
        <f t="shared" ca="1" si="76"/>
        <v>Byproduct Sales</v>
      </c>
      <c r="L157" s="1113">
        <f t="shared" ca="1" si="77"/>
        <v>0</v>
      </c>
      <c r="M157" s="1100"/>
      <c r="N157" s="1100" t="str">
        <f t="shared" ca="1" si="78"/>
        <v/>
      </c>
      <c r="O157" s="1096"/>
      <c r="P157" s="1096"/>
      <c r="Q157" s="1096"/>
      <c r="R157" s="1096"/>
      <c r="S157" s="1096"/>
      <c r="T157" s="1096"/>
      <c r="U157" s="1096"/>
      <c r="V157" s="1096"/>
      <c r="W157" s="1096"/>
      <c r="X157" s="1096"/>
      <c r="Y157" s="1096"/>
      <c r="Z157" s="1096"/>
      <c r="AA157" s="1096"/>
      <c r="AB157" s="1096"/>
      <c r="AC157" s="1096"/>
      <c r="AD157" s="1096"/>
      <c r="AE157" s="1096"/>
      <c r="AF157" s="1096"/>
      <c r="AG157" s="1096"/>
      <c r="AH157" s="1096"/>
      <c r="AI157" s="1096"/>
      <c r="AJ157" s="1096"/>
    </row>
    <row r="158" spans="1:73" ht="13" x14ac:dyDescent="0.3">
      <c r="A158" s="1096"/>
      <c r="B158" s="1098"/>
      <c r="C158" s="1096"/>
      <c r="D158" s="1098"/>
      <c r="E158" s="1098"/>
      <c r="F158" s="1098"/>
      <c r="G158" s="1098"/>
      <c r="H158" s="1098"/>
      <c r="I158" s="1126"/>
      <c r="J158" s="1096"/>
      <c r="K158" s="1100"/>
      <c r="L158" s="1100"/>
      <c r="M158" s="1113"/>
      <c r="N158" s="1100" t="str">
        <f t="shared" ref="N158" si="79">+IF(L158&gt;0.01,K158,"")</f>
        <v/>
      </c>
      <c r="O158" s="1096"/>
      <c r="P158" s="1096"/>
      <c r="Q158" s="1096"/>
      <c r="R158" s="1096"/>
      <c r="S158" s="1096"/>
      <c r="T158" s="1096"/>
      <c r="U158" s="1096"/>
      <c r="V158" s="1096"/>
      <c r="W158" s="1096"/>
      <c r="X158" s="1096"/>
      <c r="Y158" s="1096"/>
      <c r="Z158" s="1096"/>
      <c r="AA158" s="1096"/>
      <c r="AB158" s="1096"/>
      <c r="AC158" s="1096"/>
      <c r="AD158" s="1096"/>
      <c r="AE158" s="1096"/>
      <c r="AF158" s="1096"/>
      <c r="AG158" s="1096"/>
      <c r="AH158" s="1096"/>
      <c r="AI158" s="1096"/>
      <c r="AJ158" s="1096"/>
    </row>
    <row r="159" spans="1:73" ht="13" x14ac:dyDescent="0.3">
      <c r="A159" s="1096"/>
      <c r="B159" s="1098" t="s">
        <v>1163</v>
      </c>
      <c r="C159" s="1096">
        <v>1</v>
      </c>
      <c r="D159" s="1100" t="str">
        <f>+H110</f>
        <v>Initial Equity Depreciable Capital</v>
      </c>
      <c r="E159" s="1113">
        <f ca="1">+N48+C159/10000000000</f>
        <v>7.3688226550349414E-2</v>
      </c>
      <c r="F159" s="1100">
        <f t="shared" ref="F159:F170" ca="1" si="80">+RANK(E159,$E$159:$E$170)</f>
        <v>3</v>
      </c>
      <c r="G159" s="1105">
        <v>1</v>
      </c>
      <c r="H159" s="1100" t="str">
        <f t="shared" ref="H159:H170" ca="1" si="81">OFFSET($D$158,MATCH($G159,$F$159:$F$170,0),0)</f>
        <v>Feedstock Cost</v>
      </c>
      <c r="I159" s="1115">
        <f t="shared" ref="I159:I170" ca="1" si="82">OFFSET($E$158,MATCH($G159,$F$159:$F$170,0),0)-OFFSET($C$158,MATCH($G159,$F$159:$F$170,0),0)/10000000000</f>
        <v>0.82763314128326659</v>
      </c>
      <c r="J159" s="1096"/>
      <c r="K159" s="1100" t="str">
        <f t="shared" ca="1" si="76"/>
        <v>Feedstock Cost</v>
      </c>
      <c r="L159" s="1100"/>
      <c r="M159" s="1113">
        <f ca="1">+I159</f>
        <v>0.82763314128326659</v>
      </c>
      <c r="N159" s="1100" t="str">
        <f ca="1">+IF(M159&gt;0,K159,"")</f>
        <v>Feedstock Cost</v>
      </c>
      <c r="O159" s="1096"/>
      <c r="P159" s="1096"/>
      <c r="Q159" s="1096"/>
      <c r="R159" s="1096"/>
      <c r="S159" s="1096"/>
      <c r="T159" s="1096"/>
      <c r="U159" s="1096"/>
      <c r="V159" s="1096"/>
      <c r="W159" s="1096"/>
      <c r="X159" s="1096"/>
      <c r="Y159" s="1096"/>
      <c r="Z159" s="1096"/>
      <c r="AA159" s="1096"/>
      <c r="AB159" s="1096"/>
      <c r="AC159" s="1096"/>
      <c r="AD159" s="1096"/>
      <c r="AE159" s="1096"/>
      <c r="AF159" s="1096"/>
      <c r="AG159" s="1096"/>
      <c r="AH159" s="1096"/>
      <c r="AI159" s="1096"/>
      <c r="AJ159" s="1096"/>
    </row>
    <row r="160" spans="1:73" x14ac:dyDescent="0.25">
      <c r="A160" s="1096"/>
      <c r="B160" s="1096"/>
      <c r="C160" s="1096">
        <f>+C159+1</f>
        <v>2</v>
      </c>
      <c r="D160" s="1100" t="str">
        <f>+I110</f>
        <v>Yearly Replacement Costs</v>
      </c>
      <c r="E160" s="1113">
        <f ca="1">+O48+C160/10000000000</f>
        <v>1.0349261393574028E-2</v>
      </c>
      <c r="F160" s="1100">
        <f t="shared" ca="1" si="80"/>
        <v>7</v>
      </c>
      <c r="G160" s="1105">
        <v>2</v>
      </c>
      <c r="H160" s="1100" t="str">
        <f t="shared" ca="1" si="81"/>
        <v>Other Variable Operating Costs</v>
      </c>
      <c r="I160" s="1115">
        <f t="shared" ca="1" si="82"/>
        <v>9.2095669300620797E-2</v>
      </c>
      <c r="J160" s="1096"/>
      <c r="K160" s="1100" t="str">
        <f t="shared" ca="1" si="76"/>
        <v>Other Variable Operating Costs</v>
      </c>
      <c r="L160" s="1100"/>
      <c r="M160" s="1113">
        <f t="shared" ref="M160:M170" ca="1" si="83">+I160</f>
        <v>9.2095669300620797E-2</v>
      </c>
      <c r="N160" s="1100" t="str">
        <f t="shared" ref="N160:N170" ca="1" si="84">+IF(M160&gt;0,K160,"")</f>
        <v>Other Variable Operating Costs</v>
      </c>
      <c r="O160" s="1096"/>
      <c r="P160" s="1096"/>
      <c r="Q160" s="1096"/>
      <c r="R160" s="1096"/>
      <c r="S160" s="1096"/>
      <c r="T160" s="1096"/>
      <c r="U160" s="1096"/>
      <c r="V160" s="1096"/>
      <c r="W160" s="1096"/>
      <c r="X160" s="1096"/>
      <c r="Y160" s="1096"/>
      <c r="Z160" s="1096"/>
      <c r="AA160" s="1096"/>
      <c r="AB160" s="1096"/>
      <c r="AC160" s="1096"/>
      <c r="AD160" s="1096"/>
      <c r="AE160" s="1096"/>
      <c r="AF160" s="1096"/>
      <c r="AG160" s="1096"/>
      <c r="AH160" s="1096"/>
      <c r="AI160" s="1096"/>
      <c r="AJ160" s="1096"/>
    </row>
    <row r="161" spans="1:36" x14ac:dyDescent="0.25">
      <c r="A161" s="1096"/>
      <c r="B161" s="1096"/>
      <c r="C161" s="1096">
        <f t="shared" ref="C161:C170" si="85">+C160+1</f>
        <v>3</v>
      </c>
      <c r="D161" s="1100" t="str">
        <f>+J110</f>
        <v>Cash for Working Capital Reserve</v>
      </c>
      <c r="E161" s="1113">
        <f ca="1">+P48+C161/10000000000</f>
        <v>1.353238503566233E-2</v>
      </c>
      <c r="F161" s="1100">
        <f t="shared" ca="1" si="80"/>
        <v>6</v>
      </c>
      <c r="G161" s="1105">
        <v>3</v>
      </c>
      <c r="H161" s="1100" t="str">
        <f t="shared" ca="1" si="81"/>
        <v>Initial Equity Depreciable Capital</v>
      </c>
      <c r="I161" s="1115">
        <f t="shared" ca="1" si="82"/>
        <v>7.368822645034942E-2</v>
      </c>
      <c r="J161" s="1096"/>
      <c r="K161" s="1100" t="str">
        <f t="shared" ca="1" si="76"/>
        <v>Initial Equity Depreciable Capital</v>
      </c>
      <c r="L161" s="1100"/>
      <c r="M161" s="1113">
        <f t="shared" ca="1" si="83"/>
        <v>7.368822645034942E-2</v>
      </c>
      <c r="N161" s="1100" t="str">
        <f t="shared" ca="1" si="84"/>
        <v>Initial Equity Depreciable Capital</v>
      </c>
      <c r="O161" s="1096"/>
      <c r="P161" s="1096"/>
      <c r="Q161" s="1096"/>
      <c r="R161" s="1096"/>
      <c r="S161" s="1096"/>
      <c r="T161" s="1096"/>
      <c r="U161" s="1096"/>
      <c r="V161" s="1096"/>
      <c r="W161" s="1096"/>
      <c r="X161" s="1096"/>
      <c r="Y161" s="1096"/>
      <c r="Z161" s="1096"/>
      <c r="AA161" s="1096"/>
      <c r="AB161" s="1096"/>
      <c r="AC161" s="1096"/>
      <c r="AD161" s="1096"/>
      <c r="AE161" s="1096"/>
      <c r="AF161" s="1096"/>
      <c r="AG161" s="1096"/>
      <c r="AH161" s="1096"/>
      <c r="AI161" s="1096"/>
      <c r="AJ161" s="1096"/>
    </row>
    <row r="162" spans="1:36" x14ac:dyDescent="0.25">
      <c r="A162" s="1096"/>
      <c r="B162" s="1096"/>
      <c r="C162" s="1096">
        <f t="shared" si="85"/>
        <v>4</v>
      </c>
      <c r="D162" s="1100" t="str">
        <f>+K110</f>
        <v>Other Non-Depreciable Capital Costs</v>
      </c>
      <c r="E162" s="1113">
        <f ca="1">+Q48+C162/10000000000</f>
        <v>4.4939831076757438E-4</v>
      </c>
      <c r="F162" s="1100">
        <f t="shared" ca="1" si="80"/>
        <v>11</v>
      </c>
      <c r="G162" s="1105">
        <v>4</v>
      </c>
      <c r="H162" s="1100" t="str">
        <f t="shared" ca="1" si="81"/>
        <v>Fixed Operating Cost</v>
      </c>
      <c r="I162" s="1115">
        <f t="shared" ca="1" si="82"/>
        <v>7.2865532650274817E-2</v>
      </c>
      <c r="J162" s="1096"/>
      <c r="K162" s="1100" t="str">
        <f t="shared" ca="1" si="76"/>
        <v>Fixed Operating Cost</v>
      </c>
      <c r="L162" s="1100"/>
      <c r="M162" s="1113">
        <f t="shared" ca="1" si="83"/>
        <v>7.2865532650274817E-2</v>
      </c>
      <c r="N162" s="1100" t="str">
        <f t="shared" ca="1" si="84"/>
        <v>Fixed Operating Cost</v>
      </c>
      <c r="O162" s="1096"/>
      <c r="P162" s="1096"/>
      <c r="Q162" s="1096"/>
      <c r="R162" s="1096"/>
      <c r="S162" s="1096"/>
      <c r="T162" s="1096"/>
      <c r="U162" s="1096"/>
      <c r="V162" s="1096"/>
      <c r="W162" s="1096"/>
      <c r="X162" s="1096"/>
      <c r="Y162" s="1096"/>
      <c r="Z162" s="1096"/>
      <c r="AA162" s="1096"/>
      <c r="AB162" s="1096"/>
      <c r="AC162" s="1096"/>
      <c r="AD162" s="1096"/>
      <c r="AE162" s="1096"/>
      <c r="AF162" s="1096"/>
      <c r="AG162" s="1096"/>
      <c r="AH162" s="1096"/>
      <c r="AI162" s="1096"/>
      <c r="AJ162" s="1096"/>
    </row>
    <row r="163" spans="1:36" x14ac:dyDescent="0.25">
      <c r="A163" s="1096"/>
      <c r="B163" s="1096"/>
      <c r="C163" s="1096">
        <f t="shared" si="85"/>
        <v>5</v>
      </c>
      <c r="D163" s="1100" t="str">
        <f>+L110</f>
        <v>Decommissioning Costs</v>
      </c>
      <c r="E163" s="1113">
        <f ca="1">+R48+C163/10000000000</f>
        <v>7.9899689237872729E-4</v>
      </c>
      <c r="F163" s="1100">
        <f t="shared" ca="1" si="80"/>
        <v>10</v>
      </c>
      <c r="G163" s="1105">
        <v>5</v>
      </c>
      <c r="H163" s="1100" t="str">
        <f t="shared" ca="1" si="81"/>
        <v>Debt Interest</v>
      </c>
      <c r="I163" s="1115">
        <f t="shared" ca="1" si="82"/>
        <v>4.8408155517525683E-2</v>
      </c>
      <c r="J163" s="1096"/>
      <c r="K163" s="1100" t="str">
        <f t="shared" ca="1" si="76"/>
        <v>Debt Interest</v>
      </c>
      <c r="L163" s="1100"/>
      <c r="M163" s="1113">
        <f t="shared" ca="1" si="83"/>
        <v>4.8408155517525683E-2</v>
      </c>
      <c r="N163" s="1100" t="str">
        <f t="shared" ca="1" si="84"/>
        <v>Debt Interest</v>
      </c>
      <c r="O163" s="1096"/>
      <c r="P163" s="1096"/>
      <c r="Q163" s="1096"/>
      <c r="R163" s="1096"/>
      <c r="S163" s="1096"/>
      <c r="T163" s="1096"/>
      <c r="U163" s="1096"/>
      <c r="V163" s="1096"/>
      <c r="W163" s="1096"/>
      <c r="X163" s="1096"/>
      <c r="Y163" s="1096"/>
      <c r="Z163" s="1096"/>
      <c r="AA163" s="1096"/>
      <c r="AB163" s="1096"/>
      <c r="AC163" s="1096"/>
      <c r="AD163" s="1096"/>
      <c r="AE163" s="1096"/>
      <c r="AF163" s="1096"/>
      <c r="AG163" s="1096"/>
      <c r="AH163" s="1096"/>
      <c r="AI163" s="1096"/>
      <c r="AJ163" s="1096"/>
    </row>
    <row r="164" spans="1:36" x14ac:dyDescent="0.25">
      <c r="A164" s="1096"/>
      <c r="B164" s="1096"/>
      <c r="C164" s="1096">
        <f t="shared" si="85"/>
        <v>6</v>
      </c>
      <c r="D164" s="1100" t="str">
        <f>+M110</f>
        <v>Fixed Operating Cost</v>
      </c>
      <c r="E164" s="1113">
        <f ca="1">+S48+C164/10000000000</f>
        <v>7.2865533250274811E-2</v>
      </c>
      <c r="F164" s="1100">
        <f t="shared" ca="1" si="80"/>
        <v>4</v>
      </c>
      <c r="G164" s="1105">
        <v>6</v>
      </c>
      <c r="H164" s="1100" t="str">
        <f t="shared" ca="1" si="81"/>
        <v>Cash for Working Capital Reserve</v>
      </c>
      <c r="I164" s="1115">
        <f t="shared" ca="1" si="82"/>
        <v>1.3532384735662329E-2</v>
      </c>
      <c r="J164" s="1096"/>
      <c r="K164" s="1100" t="str">
        <f t="shared" ca="1" si="76"/>
        <v>Cash for Working Capital Reserve</v>
      </c>
      <c r="L164" s="1100"/>
      <c r="M164" s="1113">
        <f t="shared" ca="1" si="83"/>
        <v>1.3532384735662329E-2</v>
      </c>
      <c r="N164" s="1100" t="str">
        <f t="shared" ca="1" si="84"/>
        <v>Cash for Working Capital Reserve</v>
      </c>
      <c r="O164" s="1096"/>
      <c r="P164" s="1096"/>
      <c r="Q164" s="1096"/>
      <c r="R164" s="1096"/>
      <c r="S164" s="1096"/>
      <c r="T164" s="1096"/>
      <c r="U164" s="1096"/>
      <c r="V164" s="1096"/>
      <c r="W164" s="1096"/>
      <c r="X164" s="1096"/>
      <c r="Y164" s="1096"/>
      <c r="Z164" s="1096"/>
      <c r="AA164" s="1096"/>
      <c r="AB164" s="1096"/>
      <c r="AC164" s="1096"/>
      <c r="AD164" s="1096"/>
      <c r="AE164" s="1096"/>
      <c r="AF164" s="1096"/>
      <c r="AG164" s="1096"/>
      <c r="AH164" s="1096"/>
      <c r="AI164" s="1096"/>
      <c r="AJ164" s="1096"/>
    </row>
    <row r="165" spans="1:36" x14ac:dyDescent="0.25">
      <c r="A165" s="1096"/>
      <c r="B165" s="1096"/>
      <c r="C165" s="1096">
        <f t="shared" si="85"/>
        <v>7</v>
      </c>
      <c r="D165" s="1100" t="str">
        <f>+N110</f>
        <v>Feedstock Cost</v>
      </c>
      <c r="E165" s="1113">
        <f ca="1">+T48+C165/10000000000</f>
        <v>0.82763314198326654</v>
      </c>
      <c r="F165" s="1100">
        <f t="shared" ca="1" si="80"/>
        <v>1</v>
      </c>
      <c r="G165" s="1105">
        <v>7</v>
      </c>
      <c r="H165" s="1100" t="str">
        <f t="shared" ca="1" si="81"/>
        <v>Yearly Replacement Costs</v>
      </c>
      <c r="I165" s="1115">
        <f t="shared" ca="1" si="82"/>
        <v>1.0349261193574029E-2</v>
      </c>
      <c r="J165" s="1096"/>
      <c r="K165" s="1100" t="str">
        <f t="shared" ca="1" si="76"/>
        <v>Yearly Replacement Costs</v>
      </c>
      <c r="L165" s="1100"/>
      <c r="M165" s="1113">
        <f t="shared" ca="1" si="83"/>
        <v>1.0349261193574029E-2</v>
      </c>
      <c r="N165" s="1100" t="str">
        <f t="shared" ca="1" si="84"/>
        <v>Yearly Replacement Costs</v>
      </c>
      <c r="O165" s="1096"/>
      <c r="P165" s="1096"/>
      <c r="Q165" s="1096"/>
      <c r="R165" s="1096"/>
      <c r="S165" s="1096"/>
      <c r="T165" s="1096"/>
      <c r="U165" s="1096"/>
      <c r="V165" s="1096"/>
      <c r="W165" s="1096"/>
      <c r="X165" s="1096"/>
      <c r="Y165" s="1096"/>
      <c r="Z165" s="1096"/>
      <c r="AA165" s="1096"/>
      <c r="AB165" s="1096"/>
      <c r="AC165" s="1096"/>
      <c r="AD165" s="1096"/>
      <c r="AE165" s="1096"/>
      <c r="AF165" s="1096"/>
      <c r="AG165" s="1096"/>
      <c r="AH165" s="1096"/>
      <c r="AI165" s="1096"/>
      <c r="AJ165" s="1096"/>
    </row>
    <row r="166" spans="1:36" x14ac:dyDescent="0.25">
      <c r="A166" s="1096"/>
      <c r="B166" s="1096"/>
      <c r="C166" s="1096">
        <f t="shared" si="85"/>
        <v>8</v>
      </c>
      <c r="D166" s="1100" t="str">
        <f>+O110</f>
        <v>Other Raw Material Cost</v>
      </c>
      <c r="E166" s="1113">
        <f ca="1">+U48+C166/10000000000</f>
        <v>8.0000000000000003E-10</v>
      </c>
      <c r="F166" s="1100">
        <f t="shared" ca="1" si="80"/>
        <v>12</v>
      </c>
      <c r="G166" s="1105">
        <v>8</v>
      </c>
      <c r="H166" s="1100" t="str">
        <f t="shared" ca="1" si="81"/>
        <v>Taxes</v>
      </c>
      <c r="I166" s="1115">
        <f t="shared" ca="1" si="82"/>
        <v>7.1457440652860586E-3</v>
      </c>
      <c r="J166" s="1096"/>
      <c r="K166" s="1100" t="str">
        <f t="shared" ca="1" si="76"/>
        <v>Taxes</v>
      </c>
      <c r="L166" s="1100"/>
      <c r="M166" s="1113">
        <f t="shared" ca="1" si="83"/>
        <v>7.1457440652860586E-3</v>
      </c>
      <c r="N166" s="1100" t="str">
        <f t="shared" ca="1" si="84"/>
        <v>Taxes</v>
      </c>
      <c r="O166" s="1096"/>
      <c r="P166" s="1096"/>
      <c r="Q166" s="1096"/>
      <c r="R166" s="1096"/>
      <c r="S166" s="1096"/>
      <c r="T166" s="1096"/>
      <c r="U166" s="1096"/>
      <c r="V166" s="1096"/>
      <c r="W166" s="1096"/>
      <c r="X166" s="1096"/>
      <c r="Y166" s="1096"/>
      <c r="Z166" s="1096"/>
      <c r="AA166" s="1096"/>
      <c r="AB166" s="1096"/>
      <c r="AC166" s="1096"/>
      <c r="AD166" s="1096"/>
      <c r="AE166" s="1096"/>
      <c r="AF166" s="1096"/>
      <c r="AG166" s="1096"/>
      <c r="AH166" s="1096"/>
      <c r="AI166" s="1096"/>
      <c r="AJ166" s="1096"/>
    </row>
    <row r="167" spans="1:36" x14ac:dyDescent="0.25">
      <c r="A167" s="1096"/>
      <c r="B167" s="1096"/>
      <c r="C167" s="1096">
        <f t="shared" si="85"/>
        <v>9</v>
      </c>
      <c r="D167" s="1100" t="str">
        <f>+P110</f>
        <v>Other Variable Operating Costs</v>
      </c>
      <c r="E167" s="1113">
        <f ca="1">+V48+C167/10000000000</f>
        <v>9.2095670200620802E-2</v>
      </c>
      <c r="F167" s="1100">
        <f t="shared" ca="1" si="80"/>
        <v>2</v>
      </c>
      <c r="G167" s="1105">
        <v>9</v>
      </c>
      <c r="H167" s="1100" t="str">
        <f t="shared" ca="1" si="81"/>
        <v>Principal Payment</v>
      </c>
      <c r="I167" s="1115">
        <f t="shared" ca="1" si="82"/>
        <v>2.1746047909649352E-3</v>
      </c>
      <c r="J167" s="1096"/>
      <c r="K167" s="1100" t="str">
        <f t="shared" ca="1" si="76"/>
        <v>Principal Payment</v>
      </c>
      <c r="L167" s="1100"/>
      <c r="M167" s="1113">
        <f t="shared" ca="1" si="83"/>
        <v>2.1746047909649352E-3</v>
      </c>
      <c r="N167" s="1100" t="str">
        <f t="shared" ca="1" si="84"/>
        <v>Principal Payment</v>
      </c>
      <c r="O167" s="1096"/>
      <c r="P167" s="1096"/>
      <c r="Q167" s="1096"/>
      <c r="R167" s="1096"/>
      <c r="S167" s="1096"/>
      <c r="T167" s="1096"/>
      <c r="U167" s="1096"/>
      <c r="V167" s="1096"/>
      <c r="W167" s="1096"/>
      <c r="X167" s="1096"/>
      <c r="Y167" s="1096"/>
      <c r="Z167" s="1096"/>
      <c r="AA167" s="1096"/>
      <c r="AB167" s="1096"/>
      <c r="AC167" s="1096"/>
      <c r="AD167" s="1096"/>
      <c r="AE167" s="1096"/>
      <c r="AF167" s="1096"/>
      <c r="AG167" s="1096"/>
      <c r="AH167" s="1096"/>
      <c r="AI167" s="1096"/>
      <c r="AJ167" s="1096"/>
    </row>
    <row r="168" spans="1:36" x14ac:dyDescent="0.25">
      <c r="A168" s="1096"/>
      <c r="B168" s="1096"/>
      <c r="C168" s="1096">
        <f t="shared" si="85"/>
        <v>10</v>
      </c>
      <c r="D168" s="1100" t="str">
        <f>+Q110</f>
        <v>Debt Interest</v>
      </c>
      <c r="E168" s="1113">
        <f ca="1">+W48+C168/10000000000</f>
        <v>4.8408156517525683E-2</v>
      </c>
      <c r="F168" s="1100">
        <f t="shared" ca="1" si="80"/>
        <v>5</v>
      </c>
      <c r="G168" s="1105">
        <v>10</v>
      </c>
      <c r="H168" s="1100" t="str">
        <f t="shared" ca="1" si="81"/>
        <v>Decommissioning Costs</v>
      </c>
      <c r="I168" s="1115">
        <f t="shared" ca="1" si="82"/>
        <v>7.9899639237872733E-4</v>
      </c>
      <c r="J168" s="1096"/>
      <c r="K168" s="1100" t="str">
        <f t="shared" ca="1" si="76"/>
        <v>Decommissioning Costs</v>
      </c>
      <c r="L168" s="1100"/>
      <c r="M168" s="1113">
        <f t="shared" ca="1" si="83"/>
        <v>7.9899639237872733E-4</v>
      </c>
      <c r="N168" s="1100" t="str">
        <f t="shared" ca="1" si="84"/>
        <v>Decommissioning Costs</v>
      </c>
      <c r="O168" s="1096"/>
      <c r="P168" s="1096"/>
      <c r="Q168" s="1096"/>
      <c r="R168" s="1096"/>
      <c r="S168" s="1096"/>
      <c r="T168" s="1096"/>
      <c r="U168" s="1096"/>
      <c r="V168" s="1096"/>
      <c r="W168" s="1096"/>
      <c r="X168" s="1096"/>
      <c r="Y168" s="1096"/>
      <c r="Z168" s="1096"/>
      <c r="AA168" s="1096"/>
      <c r="AB168" s="1096"/>
      <c r="AC168" s="1096"/>
      <c r="AD168" s="1096"/>
      <c r="AE168" s="1096"/>
      <c r="AF168" s="1096"/>
      <c r="AG168" s="1096"/>
      <c r="AH168" s="1096"/>
      <c r="AI168" s="1096"/>
      <c r="AJ168" s="1096"/>
    </row>
    <row r="169" spans="1:36" x14ac:dyDescent="0.25">
      <c r="A169" s="1096"/>
      <c r="B169" s="1096"/>
      <c r="C169" s="1096">
        <f t="shared" si="85"/>
        <v>11</v>
      </c>
      <c r="D169" s="1100" t="str">
        <f>+R110</f>
        <v>Taxes</v>
      </c>
      <c r="E169" s="1113">
        <f ca="1">+X48+C169/10000000000</f>
        <v>7.1457451652860585E-3</v>
      </c>
      <c r="F169" s="1100">
        <f t="shared" ca="1" si="80"/>
        <v>8</v>
      </c>
      <c r="G169" s="1105">
        <v>11</v>
      </c>
      <c r="H169" s="1100" t="str">
        <f t="shared" ca="1" si="81"/>
        <v>Other Non-Depreciable Capital Costs</v>
      </c>
      <c r="I169" s="1115">
        <f t="shared" ca="1" si="82"/>
        <v>4.493979107675744E-4</v>
      </c>
      <c r="J169" s="1096"/>
      <c r="K169" s="1100" t="str">
        <f t="shared" ca="1" si="76"/>
        <v>Other Non-Depreciable Capital Costs</v>
      </c>
      <c r="L169" s="1100"/>
      <c r="M169" s="1113">
        <f t="shared" ca="1" si="83"/>
        <v>4.493979107675744E-4</v>
      </c>
      <c r="N169" s="1100" t="str">
        <f t="shared" ca="1" si="84"/>
        <v>Other Non-Depreciable Capital Costs</v>
      </c>
      <c r="O169" s="1096"/>
      <c r="P169" s="1096"/>
      <c r="Q169" s="1096"/>
      <c r="R169" s="1096"/>
      <c r="S169" s="1096"/>
      <c r="T169" s="1096"/>
      <c r="U169" s="1096"/>
      <c r="V169" s="1096"/>
      <c r="W169" s="1096"/>
      <c r="X169" s="1096"/>
      <c r="Y169" s="1096"/>
      <c r="Z169" s="1096"/>
      <c r="AA169" s="1096"/>
      <c r="AB169" s="1096"/>
      <c r="AC169" s="1096"/>
      <c r="AD169" s="1096"/>
      <c r="AE169" s="1096"/>
      <c r="AF169" s="1096"/>
      <c r="AG169" s="1096"/>
      <c r="AH169" s="1096"/>
      <c r="AI169" s="1096"/>
      <c r="AJ169" s="1096"/>
    </row>
    <row r="170" spans="1:36" x14ac:dyDescent="0.25">
      <c r="A170" s="1096"/>
      <c r="B170" s="1096"/>
      <c r="C170" s="1096">
        <f t="shared" si="85"/>
        <v>12</v>
      </c>
      <c r="D170" s="1100" t="str">
        <f>+S110</f>
        <v>Principal Payment</v>
      </c>
      <c r="E170" s="1113">
        <f ca="1">+Y48+C170/10000000000</f>
        <v>2.1746059909649351E-3</v>
      </c>
      <c r="F170" s="1100">
        <f t="shared" ca="1" si="80"/>
        <v>9</v>
      </c>
      <c r="G170" s="1105">
        <v>12</v>
      </c>
      <c r="H170" s="1100" t="str">
        <f t="shared" ca="1" si="81"/>
        <v>Other Raw Material Cost</v>
      </c>
      <c r="I170" s="1115">
        <f t="shared" ca="1" si="82"/>
        <v>0</v>
      </c>
      <c r="J170" s="1096"/>
      <c r="K170" s="1100" t="str">
        <f t="shared" ca="1" si="76"/>
        <v>Other Raw Material Cost</v>
      </c>
      <c r="L170" s="1100"/>
      <c r="M170" s="1113">
        <f t="shared" ca="1" si="83"/>
        <v>0</v>
      </c>
      <c r="N170" s="1100" t="str">
        <f t="shared" ca="1" si="84"/>
        <v/>
      </c>
      <c r="O170" s="1096"/>
      <c r="P170" s="1096"/>
      <c r="Q170" s="1096"/>
      <c r="R170" s="1096"/>
      <c r="S170" s="1096"/>
      <c r="T170" s="1096"/>
      <c r="U170" s="1096"/>
      <c r="V170" s="1096"/>
      <c r="W170" s="1096"/>
      <c r="X170" s="1096"/>
      <c r="Y170" s="1096"/>
      <c r="Z170" s="1096"/>
      <c r="AA170" s="1096"/>
      <c r="AB170" s="1096"/>
      <c r="AC170" s="1096"/>
      <c r="AD170" s="1096"/>
      <c r="AE170" s="1096"/>
      <c r="AF170" s="1096"/>
      <c r="AG170" s="1096"/>
      <c r="AH170" s="1096"/>
      <c r="AI170" s="1096"/>
      <c r="AJ170" s="1096"/>
    </row>
    <row r="171" spans="1:36" ht="13" x14ac:dyDescent="0.3">
      <c r="A171" s="1096"/>
      <c r="B171" s="1096"/>
      <c r="C171" s="1096"/>
      <c r="D171" s="1096"/>
      <c r="E171" s="1096"/>
      <c r="F171" s="1096"/>
      <c r="G171" s="1096"/>
      <c r="H171" s="1098"/>
      <c r="I171" s="1096"/>
      <c r="J171" s="1096"/>
      <c r="K171" s="1099" t="s">
        <v>58</v>
      </c>
      <c r="L171" s="1113">
        <f ca="1">+SUM(L155:L170)</f>
        <v>1.1491411142906718</v>
      </c>
      <c r="M171" s="1113">
        <f ca="1">+SUM(M155:M170)</f>
        <v>1.1491411142906711</v>
      </c>
      <c r="N171" s="1100" t="str">
        <f t="shared" ref="N171" ca="1" si="86">+IF(M171&lt;0.01,K171,"")</f>
        <v/>
      </c>
      <c r="O171" s="1096"/>
      <c r="P171" s="1096"/>
      <c r="Q171" s="1096"/>
      <c r="R171" s="1096"/>
      <c r="S171" s="1096"/>
      <c r="T171" s="1096"/>
      <c r="U171" s="1096"/>
      <c r="V171" s="1096"/>
      <c r="W171" s="1096"/>
      <c r="X171" s="1096"/>
      <c r="Y171" s="1096"/>
      <c r="Z171" s="1096"/>
      <c r="AA171" s="1096"/>
      <c r="AB171" s="1096"/>
      <c r="AC171" s="1096"/>
      <c r="AD171" s="1096"/>
      <c r="AE171" s="1096"/>
      <c r="AF171" s="1096"/>
      <c r="AG171" s="1096"/>
      <c r="AH171" s="1096"/>
      <c r="AI171" s="1096"/>
      <c r="AJ171" s="1096"/>
    </row>
    <row r="172" spans="1:36" x14ac:dyDescent="0.25">
      <c r="A172" s="1096"/>
      <c r="B172" s="1096"/>
      <c r="C172" s="1096"/>
      <c r="E172" s="1096"/>
      <c r="F172" s="1096"/>
      <c r="G172" s="1096"/>
      <c r="H172" s="1096"/>
      <c r="I172" s="1096"/>
      <c r="J172" s="1096"/>
      <c r="K172" s="1096"/>
      <c r="L172" s="1096"/>
      <c r="M172" s="1096"/>
      <c r="N172" s="1096"/>
      <c r="O172" s="1096"/>
      <c r="P172" s="1096"/>
      <c r="Q172" s="1096"/>
      <c r="R172" s="1096"/>
      <c r="S172" s="1096"/>
      <c r="T172" s="1096"/>
      <c r="U172" s="1096"/>
      <c r="V172" s="1096"/>
      <c r="W172" s="1096"/>
      <c r="X172" s="1096"/>
      <c r="Y172" s="1096"/>
      <c r="Z172" s="1096"/>
      <c r="AA172" s="1096"/>
      <c r="AB172" s="1096"/>
      <c r="AC172" s="1096"/>
      <c r="AD172" s="1096"/>
      <c r="AE172" s="1096"/>
      <c r="AF172" s="1096"/>
      <c r="AG172" s="1096"/>
      <c r="AH172" s="1096"/>
      <c r="AI172" s="1096"/>
      <c r="AJ172" s="1096"/>
    </row>
    <row r="173" spans="1:36" x14ac:dyDescent="0.25">
      <c r="A173" s="1096"/>
      <c r="B173" s="1096"/>
      <c r="C173" s="1096"/>
      <c r="D173" s="1096"/>
      <c r="E173" s="1096"/>
      <c r="F173" s="1096"/>
      <c r="G173" s="1096"/>
      <c r="H173" s="1096"/>
      <c r="I173" s="1096"/>
      <c r="J173" s="1096"/>
      <c r="K173" s="1096"/>
      <c r="L173" s="1096"/>
      <c r="M173" s="1096"/>
      <c r="N173" s="1096"/>
      <c r="O173" s="1096"/>
      <c r="P173" s="1096"/>
      <c r="Q173" s="1096"/>
      <c r="R173" s="1096"/>
      <c r="S173" s="1096"/>
      <c r="T173" s="1096"/>
      <c r="U173" s="1096"/>
      <c r="V173" s="1096"/>
      <c r="W173" s="1096"/>
      <c r="X173" s="1096"/>
      <c r="Y173" s="1096"/>
      <c r="Z173" s="1096"/>
      <c r="AA173" s="1096"/>
      <c r="AB173" s="1096"/>
      <c r="AC173" s="1096"/>
      <c r="AD173" s="1096"/>
      <c r="AE173" s="1096"/>
      <c r="AF173" s="1096"/>
      <c r="AG173" s="1096"/>
      <c r="AH173" s="1096"/>
      <c r="AI173" s="1096"/>
      <c r="AJ173" s="1096"/>
    </row>
    <row r="174" spans="1:36" ht="13" x14ac:dyDescent="0.3">
      <c r="A174" s="1096"/>
      <c r="B174" s="1098" t="s">
        <v>1184</v>
      </c>
      <c r="C174" s="1096"/>
      <c r="D174" s="1097" t="s">
        <v>1196</v>
      </c>
      <c r="E174" s="1097" t="s">
        <v>1194</v>
      </c>
      <c r="F174" s="1097" t="s">
        <v>1197</v>
      </c>
      <c r="G174" s="1097" t="s">
        <v>1195</v>
      </c>
      <c r="H174" s="1096"/>
      <c r="I174" s="1096"/>
      <c r="J174" s="1096"/>
      <c r="K174" s="1096"/>
      <c r="L174" s="1096"/>
      <c r="M174" s="1097"/>
      <c r="N174" s="1097"/>
      <c r="O174" s="1096"/>
      <c r="P174" s="1096"/>
      <c r="Q174" s="1096"/>
      <c r="R174" s="1096"/>
      <c r="S174" s="1096"/>
      <c r="T174" s="1096"/>
      <c r="U174" s="1096"/>
      <c r="V174" s="1096"/>
      <c r="W174" s="1096"/>
      <c r="X174" s="1096"/>
      <c r="Y174" s="1096"/>
      <c r="Z174" s="1096"/>
      <c r="AA174" s="1096"/>
      <c r="AB174" s="1096"/>
      <c r="AC174" s="1096"/>
      <c r="AD174" s="1096"/>
      <c r="AE174" s="1096"/>
      <c r="AF174" s="1096"/>
      <c r="AG174" s="1096"/>
      <c r="AH174" s="1096"/>
      <c r="AI174" s="1096"/>
      <c r="AJ174" s="1096"/>
    </row>
    <row r="175" spans="1:36" x14ac:dyDescent="0.25">
      <c r="A175" s="1096"/>
      <c r="B175">
        <v>0</v>
      </c>
      <c r="C175" s="1099" t="s">
        <v>1185</v>
      </c>
      <c r="D175" s="1113">
        <f>+K51</f>
        <v>1.1483403443896121</v>
      </c>
      <c r="E175" s="1113">
        <f>+D175</f>
        <v>1.1483403443896121</v>
      </c>
      <c r="F175" s="1113"/>
      <c r="G175" s="1113"/>
      <c r="H175" s="1096"/>
      <c r="I175" s="1096"/>
      <c r="J175" s="1096"/>
      <c r="K175" s="1096"/>
      <c r="L175" s="1096"/>
      <c r="M175" s="1230"/>
      <c r="N175" s="1230"/>
      <c r="O175" s="1096"/>
      <c r="P175" s="1096"/>
      <c r="Q175" s="1096"/>
      <c r="R175" s="1096"/>
      <c r="S175" s="1096"/>
      <c r="T175" s="1096"/>
      <c r="U175" s="1096"/>
      <c r="V175" s="1096"/>
      <c r="W175" s="1096"/>
      <c r="X175" s="1096"/>
      <c r="Y175" s="1096"/>
      <c r="Z175" s="1096"/>
      <c r="AA175" s="1096"/>
      <c r="AB175" s="1096"/>
      <c r="AC175" s="1096"/>
      <c r="AD175" s="1096"/>
      <c r="AE175" s="1096"/>
      <c r="AF175" s="1096"/>
      <c r="AG175" s="1096"/>
      <c r="AH175" s="1096"/>
      <c r="AI175" s="1096"/>
      <c r="AJ175" s="1096"/>
    </row>
    <row r="176" spans="1:36" x14ac:dyDescent="0.25">
      <c r="A176" s="1096"/>
      <c r="B176" s="1096">
        <v>1</v>
      </c>
      <c r="C176" s="1100" t="str">
        <f ca="1">OFFSET($B$50,0,MATCH($B176,$C$72:$I$72,0))&amp;
IF(OFFSET($F$2,MATCH($B176,$C$72:$I$72,0),0)&lt;1,
"
= "&amp;OFFSET($F$2,MATCH($B176,$C$72:$I$72,0),0)*100-100,
"
= +"&amp;OFFSET($F$2,MATCH($B176,$C$72:$I$72,0),0)*100-100)
&amp;"%"</f>
        <v>Feedstock consumption (% of most likely value)
= -5%</v>
      </c>
      <c r="D176" s="1113">
        <f>+K66</f>
        <v>1.1061991008873879</v>
      </c>
      <c r="E176" s="1113">
        <f t="shared" ref="E176:E181" si="87">+E175+G175-F176</f>
        <v>1.1061991008873879</v>
      </c>
      <c r="F176" s="1113">
        <f>+MAX(D175-D176,0)</f>
        <v>4.2141243502224146E-2</v>
      </c>
      <c r="G176" s="1113">
        <f>+MAX(D176-D175,0)</f>
        <v>0</v>
      </c>
      <c r="H176" s="1096"/>
      <c r="I176" s="1096"/>
      <c r="J176" s="1096"/>
      <c r="K176" s="1096"/>
      <c r="L176" s="1096"/>
      <c r="M176" s="1230"/>
      <c r="N176" s="1230"/>
      <c r="O176" s="1096"/>
      <c r="P176" s="1096"/>
      <c r="Q176" s="1096"/>
      <c r="R176" s="1096"/>
      <c r="S176" s="1096"/>
      <c r="T176" s="1096"/>
      <c r="U176" s="1096"/>
      <c r="V176" s="1096"/>
      <c r="W176" s="1096"/>
      <c r="X176" s="1096"/>
      <c r="Y176" s="1096"/>
      <c r="Z176" s="1096"/>
      <c r="AA176" s="1096"/>
      <c r="AB176" s="1096"/>
      <c r="AC176" s="1096"/>
      <c r="AD176" s="1096"/>
      <c r="AE176" s="1096"/>
      <c r="AF176" s="1096"/>
      <c r="AG176" s="1096"/>
      <c r="AH176" s="1096"/>
      <c r="AI176" s="1096"/>
      <c r="AJ176" s="1096"/>
    </row>
    <row r="177" spans="1:36" x14ac:dyDescent="0.25">
      <c r="A177" s="1096"/>
      <c r="B177" s="1096">
        <v>2</v>
      </c>
      <c r="C177" s="1100" t="str">
        <f ca="1">OFFSET($B$50,0,MATCH($B177,$C$72:$I$72,0))&amp;
IF(OFFSET($F$2,MATCH($B177,$C$72:$I$72,0),0)&lt;1,
"
= "&amp;OFFSET($F$2,MATCH($B177,$C$72:$I$72,0),0)*100-100,
"
= +"&amp;OFFSET($F$2,MATCH($B177,$C$72:$I$72,0),0)*100-100)
&amp;"%"</f>
        <v>Operating capacity factor
= +5%</v>
      </c>
      <c r="D177" s="1113">
        <f>+K67</f>
        <v>1.094915008313404</v>
      </c>
      <c r="E177" s="1113">
        <f t="shared" si="87"/>
        <v>1.094915008313404</v>
      </c>
      <c r="F177" s="1113">
        <f>+MAX(D176-D177,0)</f>
        <v>1.1284092573983884E-2</v>
      </c>
      <c r="G177" s="1113">
        <f>+MAX(D177-D176,0)</f>
        <v>0</v>
      </c>
      <c r="H177" s="1096"/>
      <c r="I177" s="1096"/>
      <c r="J177" s="1096"/>
      <c r="K177" s="1096"/>
      <c r="L177" s="1096"/>
      <c r="M177" s="1230"/>
      <c r="N177" s="1230"/>
      <c r="O177" s="1096"/>
      <c r="P177" s="1096"/>
      <c r="Q177" s="1096"/>
      <c r="R177" s="1096"/>
      <c r="S177" s="1096"/>
      <c r="T177" s="1096"/>
      <c r="U177" s="1096"/>
      <c r="V177" s="1096"/>
      <c r="W177" s="1096"/>
      <c r="X177" s="1096"/>
      <c r="Y177" s="1096"/>
      <c r="Z177" s="1096"/>
      <c r="AA177" s="1096"/>
      <c r="AB177" s="1096"/>
      <c r="AC177" s="1096"/>
      <c r="AD177" s="1096"/>
      <c r="AE177" s="1096"/>
      <c r="AF177" s="1096"/>
      <c r="AG177" s="1096"/>
      <c r="AH177" s="1096"/>
      <c r="AI177" s="1096"/>
      <c r="AJ177" s="1096"/>
    </row>
    <row r="178" spans="1:36" x14ac:dyDescent="0.25">
      <c r="A178" s="1096"/>
      <c r="B178" s="1096">
        <v>3</v>
      </c>
      <c r="C178" s="1100" t="str">
        <f ca="1">OFFSET($B$50,0,MATCH($B178,$C$72:$I$72,0))&amp;
IF(OFFSET($F$2,MATCH($B178,$C$72:$I$72,0),0)&lt;1,
"
= "&amp;OFFSET($F$2,MATCH($B178,$C$72:$I$72,0),0)*100-100,
"
= +"&amp;OFFSET($F$2,MATCH($B178,$C$72:$I$72,0),0)*100-100)
&amp;"%"</f>
        <v>Total capital investment ($)
= -5%</v>
      </c>
      <c r="D178" s="1113">
        <f>+K68</f>
        <v>1.0869872375559777</v>
      </c>
      <c r="E178" s="1113">
        <f t="shared" si="87"/>
        <v>1.0869872375559777</v>
      </c>
      <c r="F178" s="1113">
        <f>+MAX(D177-D178,0)</f>
        <v>7.9277707574263445E-3</v>
      </c>
      <c r="G178" s="1113">
        <f>+MAX(D178-D177,0)</f>
        <v>0</v>
      </c>
      <c r="H178" s="1096"/>
      <c r="I178" s="1096"/>
      <c r="J178" s="1096"/>
      <c r="K178" s="1096"/>
      <c r="L178" s="1096"/>
      <c r="M178" s="1230"/>
      <c r="N178" s="1230"/>
      <c r="O178" s="1096"/>
      <c r="P178" s="1096"/>
      <c r="Q178" s="1096"/>
      <c r="R178" s="1096"/>
      <c r="S178" s="1096"/>
      <c r="T178" s="1096"/>
      <c r="U178" s="1096"/>
      <c r="V178" s="1096"/>
      <c r="W178" s="1096"/>
      <c r="X178" s="1096"/>
      <c r="Y178" s="1096"/>
      <c r="Z178" s="1096"/>
      <c r="AA178" s="1096"/>
      <c r="AB178" s="1096"/>
      <c r="AC178" s="1096"/>
      <c r="AD178" s="1096"/>
      <c r="AE178" s="1096"/>
      <c r="AF178" s="1096"/>
      <c r="AG178" s="1096"/>
      <c r="AH178" s="1096"/>
      <c r="AI178" s="1096"/>
      <c r="AJ178" s="1096"/>
    </row>
    <row r="179" spans="1:36" x14ac:dyDescent="0.25">
      <c r="A179" s="1096"/>
      <c r="B179" s="1096">
        <v>4</v>
      </c>
      <c r="C179" s="1100" t="str">
        <f ca="1">OFFSET($B$50,0,MATCH($B179,$C$72:$I$72,0))&amp;
IF(OFFSET($F$2,MATCH($B179,$C$72:$I$72,0),0)&lt;1,
"
= "&amp;OFFSET($F$2,MATCH($B179,$C$72:$I$72,0),0)*100-100,
"
= +"&amp;OFFSET($F$2,MATCH($B179,$C$72:$I$72,0),0)*100-100)
&amp;"%"</f>
        <v>Total fixed operating cost ($/year)
= -5%</v>
      </c>
      <c r="D179" s="1113">
        <f>+K69</f>
        <v>1.0835523312305069</v>
      </c>
      <c r="E179" s="1113">
        <f t="shared" si="87"/>
        <v>1.0835523312305069</v>
      </c>
      <c r="F179" s="1113">
        <f>+MAX(D178-D179,0)</f>
        <v>3.4349063254708323E-3</v>
      </c>
      <c r="G179" s="1113">
        <f>+MAX(D179-D178,0)</f>
        <v>0</v>
      </c>
      <c r="H179" s="1096"/>
      <c r="I179" s="1096"/>
      <c r="J179" s="1096"/>
      <c r="K179" s="1096"/>
      <c r="L179" s="1096"/>
      <c r="M179" s="1230"/>
      <c r="N179" s="1230"/>
      <c r="O179" s="1096"/>
      <c r="P179" s="1096"/>
      <c r="Q179" s="1096"/>
      <c r="R179" s="1096"/>
      <c r="S179" s="1096"/>
      <c r="T179" s="1096"/>
      <c r="U179" s="1096"/>
      <c r="V179" s="1096"/>
      <c r="W179" s="1096"/>
      <c r="X179" s="1096"/>
      <c r="Y179" s="1096"/>
      <c r="Z179" s="1096"/>
      <c r="AA179" s="1096"/>
      <c r="AB179" s="1096"/>
      <c r="AC179" s="1096"/>
      <c r="AD179" s="1096"/>
      <c r="AE179" s="1096"/>
      <c r="AF179" s="1096"/>
      <c r="AG179" s="1096"/>
      <c r="AH179" s="1096"/>
      <c r="AI179" s="1096"/>
      <c r="AJ179" s="1096"/>
    </row>
    <row r="180" spans="1:36" x14ac:dyDescent="0.25">
      <c r="A180" s="1096"/>
      <c r="B180" s="1096">
        <v>5</v>
      </c>
      <c r="C180" s="1100" t="str">
        <f ca="1">OFFSET($B$50,0,MATCH($B180,$C$72:$I$72,0))&amp;
IF(OFFSET($F$2,MATCH($B180,$C$72:$I$72,0),0)&lt;1,
"
= "&amp;OFFSET($F$2,MATCH($B180,$C$72:$I$72,0),0)*100-100,
"
= +"&amp;OFFSET($F$2,MATCH($B180,$C$72:$I$72,0),0)*100-100)
&amp;"%"</f>
        <v>Utilities consumption (% of most likely value)
= -5%</v>
      </c>
      <c r="D180" s="1113">
        <f>+K70</f>
        <v>1.0813753979231633</v>
      </c>
      <c r="E180" s="1113">
        <f t="shared" si="87"/>
        <v>1.0813753979231633</v>
      </c>
      <c r="F180" s="1113">
        <f>+MAX(D179-D180,0)</f>
        <v>2.176933307343587E-3</v>
      </c>
      <c r="G180" s="1113">
        <f>+MAX(D180-D179,0)</f>
        <v>0</v>
      </c>
      <c r="H180" s="1096"/>
      <c r="I180" s="1096"/>
      <c r="J180" s="1096"/>
      <c r="K180" s="1096"/>
      <c r="L180" s="1096"/>
      <c r="M180" s="1230"/>
      <c r="N180" s="1230"/>
      <c r="O180" s="1096"/>
      <c r="P180" s="1096"/>
      <c r="Q180" s="1096"/>
      <c r="R180" s="1096"/>
      <c r="S180" s="1096"/>
      <c r="T180" s="1096"/>
      <c r="U180" s="1096"/>
      <c r="V180" s="1096"/>
      <c r="W180" s="1096"/>
      <c r="X180" s="1096"/>
      <c r="Y180" s="1096"/>
      <c r="Z180" s="1096"/>
      <c r="AA180" s="1096"/>
      <c r="AB180" s="1096"/>
      <c r="AC180" s="1096"/>
      <c r="AD180" s="1096"/>
      <c r="AE180" s="1096"/>
      <c r="AF180" s="1096"/>
      <c r="AG180" s="1096"/>
      <c r="AH180" s="1096"/>
      <c r="AI180" s="1096"/>
      <c r="AJ180" s="1096"/>
    </row>
    <row r="181" spans="1:36" x14ac:dyDescent="0.25">
      <c r="A181" s="1096"/>
      <c r="B181" s="1096">
        <v>6</v>
      </c>
      <c r="C181" s="1099" t="s">
        <v>1192</v>
      </c>
      <c r="D181" s="1113">
        <f>+K70</f>
        <v>1.0813753979231633</v>
      </c>
      <c r="E181" s="1113">
        <f t="shared" si="87"/>
        <v>1.0813753979231633</v>
      </c>
      <c r="F181" s="1113"/>
      <c r="G181" s="1113"/>
      <c r="H181" s="1096"/>
      <c r="I181" s="1096"/>
      <c r="J181" s="1096"/>
      <c r="K181" s="1096"/>
      <c r="L181" s="1096"/>
      <c r="M181" s="1230"/>
      <c r="N181" s="1230"/>
      <c r="O181" s="1096"/>
      <c r="P181" s="1096"/>
      <c r="Q181" s="1096"/>
      <c r="R181" s="1096"/>
      <c r="S181" s="1096"/>
      <c r="T181" s="1096"/>
      <c r="U181" s="1096"/>
      <c r="V181" s="1096"/>
      <c r="W181" s="1096"/>
      <c r="X181" s="1096"/>
      <c r="Y181" s="1096"/>
      <c r="Z181" s="1096"/>
      <c r="AA181" s="1096"/>
      <c r="AB181" s="1096"/>
      <c r="AC181" s="1096"/>
      <c r="AD181" s="1096"/>
      <c r="AE181" s="1096"/>
      <c r="AF181" s="1096"/>
      <c r="AG181" s="1096"/>
      <c r="AH181" s="1096"/>
      <c r="AI181" s="1096"/>
      <c r="AJ181" s="1096"/>
    </row>
    <row r="182" spans="1:36" x14ac:dyDescent="0.25">
      <c r="A182" s="1096"/>
      <c r="B182" s="1096"/>
      <c r="C182" s="1096"/>
      <c r="D182" s="1096"/>
      <c r="E182" s="1096"/>
      <c r="F182" s="1096"/>
      <c r="G182" s="1096"/>
      <c r="H182" s="1096"/>
      <c r="I182" s="1096"/>
      <c r="J182" s="1096"/>
      <c r="K182" s="1096"/>
      <c r="L182" s="1096"/>
      <c r="M182" s="1096"/>
      <c r="N182" s="1096"/>
      <c r="O182" s="1096"/>
      <c r="P182" s="1096"/>
      <c r="Q182" s="1096"/>
      <c r="R182" s="1096"/>
      <c r="S182" s="1096"/>
      <c r="T182" s="1096"/>
      <c r="U182" s="1096"/>
      <c r="V182" s="1096"/>
      <c r="W182" s="1096"/>
      <c r="X182" s="1096"/>
      <c r="Y182" s="1096"/>
      <c r="Z182" s="1096"/>
      <c r="AA182" s="1096"/>
      <c r="AB182" s="1096"/>
      <c r="AC182" s="1096"/>
      <c r="AD182" s="1096"/>
      <c r="AE182" s="1096"/>
      <c r="AF182" s="1096"/>
      <c r="AG182" s="1096"/>
      <c r="AH182" s="1096"/>
      <c r="AI182" s="1096"/>
      <c r="AJ182" s="1096"/>
    </row>
    <row r="183" spans="1:36" x14ac:dyDescent="0.25">
      <c r="A183" s="1096"/>
      <c r="B183" s="1096"/>
      <c r="C183" s="1096"/>
      <c r="D183" s="1096"/>
      <c r="E183" s="1096"/>
      <c r="F183" s="1096"/>
      <c r="G183" s="1096"/>
      <c r="H183" s="1096"/>
      <c r="I183" s="1096"/>
      <c r="J183" s="1096"/>
      <c r="K183" s="1096"/>
      <c r="L183" s="1096"/>
      <c r="M183" s="1096"/>
      <c r="N183" s="1096"/>
      <c r="O183" s="1096"/>
      <c r="P183" s="1096"/>
      <c r="Q183" s="1096"/>
      <c r="R183" s="1096"/>
      <c r="S183" s="1096"/>
      <c r="T183" s="1096"/>
      <c r="U183" s="1096"/>
      <c r="V183" s="1096"/>
      <c r="W183" s="1096"/>
      <c r="X183" s="1096"/>
      <c r="Y183" s="1096"/>
      <c r="Z183" s="1096"/>
      <c r="AA183" s="1096"/>
      <c r="AB183" s="1096"/>
      <c r="AC183" s="1096"/>
      <c r="AD183" s="1096"/>
      <c r="AE183" s="1096"/>
      <c r="AF183" s="1096"/>
      <c r="AG183" s="1096"/>
      <c r="AH183" s="1096"/>
      <c r="AI183" s="1096"/>
      <c r="AJ183" s="1096"/>
    </row>
    <row r="184" spans="1:36" x14ac:dyDescent="0.25">
      <c r="A184" s="1096"/>
      <c r="B184" s="1096"/>
      <c r="C184" s="1096"/>
      <c r="D184" s="1096"/>
      <c r="E184" s="1096"/>
      <c r="F184" s="1096"/>
      <c r="G184" s="1096"/>
      <c r="H184" s="1096"/>
      <c r="I184" s="1096"/>
      <c r="J184" s="1096"/>
      <c r="K184" s="1096"/>
      <c r="L184" s="1096"/>
      <c r="M184" s="1096"/>
      <c r="N184" s="1096"/>
      <c r="O184" s="1096"/>
      <c r="P184" s="1096"/>
      <c r="Q184" s="1096"/>
      <c r="R184" s="1096"/>
      <c r="S184" s="1096"/>
      <c r="T184" s="1096"/>
      <c r="U184" s="1096"/>
      <c r="V184" s="1096"/>
      <c r="W184" s="1096"/>
      <c r="X184" s="1096"/>
      <c r="Y184" s="1096"/>
      <c r="Z184" s="1096"/>
      <c r="AA184" s="1096"/>
      <c r="AB184" s="1096"/>
      <c r="AC184" s="1096"/>
      <c r="AD184" s="1096"/>
      <c r="AE184" s="1096"/>
      <c r="AF184" s="1096"/>
      <c r="AG184" s="1096"/>
      <c r="AH184" s="1096"/>
      <c r="AI184" s="1096"/>
      <c r="AJ184" s="1096"/>
    </row>
    <row r="185" spans="1:36" x14ac:dyDescent="0.25">
      <c r="A185" s="1096"/>
      <c r="B185" s="1096"/>
      <c r="C185" s="1096"/>
      <c r="D185" s="1096"/>
      <c r="E185" s="1096"/>
      <c r="F185" s="1096"/>
      <c r="G185" s="1096"/>
      <c r="H185" s="1096"/>
      <c r="I185" s="1096"/>
      <c r="J185" s="1096"/>
      <c r="K185" s="1096"/>
      <c r="L185" s="1096"/>
      <c r="M185" s="1096"/>
      <c r="N185" s="1096"/>
      <c r="O185" s="1096"/>
      <c r="P185" s="1096"/>
      <c r="Q185" s="1096"/>
      <c r="R185" s="1096"/>
      <c r="S185" s="1096"/>
      <c r="T185" s="1096"/>
      <c r="U185" s="1096"/>
      <c r="V185" s="1096"/>
      <c r="W185" s="1096"/>
      <c r="X185" s="1096"/>
      <c r="Y185" s="1096"/>
      <c r="Z185" s="1096"/>
      <c r="AA185" s="1096"/>
      <c r="AB185" s="1096"/>
      <c r="AC185" s="1096"/>
      <c r="AD185" s="1096"/>
      <c r="AE185" s="1096"/>
      <c r="AF185" s="1096"/>
      <c r="AG185" s="1096"/>
      <c r="AH185" s="1096"/>
      <c r="AI185" s="1096"/>
      <c r="AJ185" s="1096"/>
    </row>
    <row r="186" spans="1:36" x14ac:dyDescent="0.25">
      <c r="A186" s="1096"/>
      <c r="B186" s="1096"/>
      <c r="C186" s="1096"/>
      <c r="D186" s="1096"/>
      <c r="E186" s="1096"/>
      <c r="F186" s="1096"/>
      <c r="G186" s="1096"/>
      <c r="H186" s="1096"/>
      <c r="I186" s="1096"/>
      <c r="J186" s="1096"/>
      <c r="K186" s="1096"/>
      <c r="L186" s="1096"/>
      <c r="M186" s="1096"/>
      <c r="N186" s="1096"/>
      <c r="O186" s="1096"/>
      <c r="P186" s="1096"/>
      <c r="Q186" s="1096"/>
      <c r="R186" s="1096"/>
      <c r="S186" s="1096"/>
      <c r="T186" s="1096"/>
      <c r="U186" s="1096"/>
      <c r="V186" s="1096"/>
      <c r="W186" s="1096"/>
      <c r="X186" s="1096"/>
      <c r="Y186" s="1096"/>
      <c r="Z186" s="1096"/>
      <c r="AA186" s="1096"/>
      <c r="AB186" s="1096"/>
      <c r="AC186" s="1096"/>
      <c r="AD186" s="1096"/>
      <c r="AE186" s="1096"/>
      <c r="AF186" s="1096"/>
      <c r="AG186" s="1096"/>
      <c r="AH186" s="1096"/>
      <c r="AI186" s="1096"/>
      <c r="AJ186" s="1096"/>
    </row>
    <row r="187" spans="1:36" x14ac:dyDescent="0.25">
      <c r="A187" s="1096"/>
      <c r="B187" s="1096"/>
      <c r="C187" s="1096"/>
      <c r="D187" s="1096"/>
      <c r="E187" s="1096"/>
      <c r="F187" s="1096"/>
      <c r="G187" s="1096"/>
      <c r="H187" s="1096"/>
      <c r="I187" s="1096"/>
      <c r="J187" s="1096"/>
      <c r="K187" s="1096"/>
      <c r="L187" s="1096"/>
      <c r="M187" s="1096"/>
      <c r="N187" s="1096"/>
      <c r="O187" s="1096"/>
      <c r="P187" s="1096"/>
      <c r="Q187" s="1096"/>
      <c r="R187" s="1096"/>
      <c r="S187" s="1096"/>
      <c r="T187" s="1096"/>
      <c r="U187" s="1096"/>
      <c r="V187" s="1096"/>
      <c r="W187" s="1096"/>
      <c r="X187" s="1096"/>
      <c r="Y187" s="1096"/>
      <c r="Z187" s="1096"/>
      <c r="AA187" s="1096"/>
      <c r="AB187" s="1096"/>
      <c r="AC187" s="1096"/>
      <c r="AD187" s="1096"/>
      <c r="AE187" s="1096"/>
      <c r="AF187" s="1096"/>
      <c r="AG187" s="1096"/>
      <c r="AH187" s="1096"/>
      <c r="AI187" s="1096"/>
      <c r="AJ187" s="1096"/>
    </row>
    <row r="188" spans="1:36" x14ac:dyDescent="0.25">
      <c r="A188" s="1096"/>
      <c r="B188" s="1096"/>
      <c r="C188" s="1096"/>
      <c r="D188" s="1096"/>
      <c r="E188" s="1096"/>
      <c r="F188" s="1096"/>
      <c r="G188" s="1096"/>
      <c r="H188" s="1096"/>
      <c r="I188" s="1096"/>
      <c r="J188" s="1096"/>
      <c r="K188" s="1096"/>
      <c r="L188" s="1096"/>
      <c r="M188" s="1096"/>
      <c r="N188" s="1096"/>
      <c r="O188" s="1096"/>
      <c r="P188" s="1096"/>
      <c r="Q188" s="1096"/>
      <c r="R188" s="1096"/>
      <c r="S188" s="1096"/>
      <c r="T188" s="1096"/>
      <c r="U188" s="1096"/>
      <c r="V188" s="1096"/>
      <c r="W188" s="1096"/>
      <c r="X188" s="1096"/>
      <c r="Y188" s="1096"/>
      <c r="Z188" s="1096"/>
      <c r="AA188" s="1096"/>
      <c r="AB188" s="1096"/>
      <c r="AC188" s="1096"/>
      <c r="AD188" s="1096"/>
      <c r="AE188" s="1096"/>
      <c r="AF188" s="1096"/>
      <c r="AG188" s="1096"/>
      <c r="AH188" s="1096"/>
      <c r="AI188" s="1096"/>
      <c r="AJ188" s="1096"/>
    </row>
    <row r="189" spans="1:36" x14ac:dyDescent="0.25">
      <c r="A189" s="1096"/>
      <c r="B189" s="1451" t="s">
        <v>1304</v>
      </c>
      <c r="C189" s="1452">
        <f>+MIN(F3:G3)</f>
        <v>0.95</v>
      </c>
      <c r="D189" s="1452">
        <f>+MIN(F4:G4)</f>
        <v>0.95</v>
      </c>
      <c r="E189" s="1452">
        <f>+MIN(F5:G5)</f>
        <v>0.95</v>
      </c>
      <c r="F189" s="1452">
        <f>+MIN(F6:G6)</f>
        <v>0.95</v>
      </c>
      <c r="G189" s="1452">
        <f>+MIN(F7:G7)</f>
        <v>0.95</v>
      </c>
      <c r="H189" s="1452">
        <f>+MIN(F8:G8)</f>
        <v>0.95</v>
      </c>
      <c r="I189" s="1452">
        <f>+MIN(F9:G9)</f>
        <v>0.95</v>
      </c>
      <c r="J189" s="1096"/>
      <c r="K189" s="1096"/>
      <c r="L189" s="1096"/>
      <c r="M189" s="1096"/>
      <c r="N189" s="1096"/>
      <c r="O189" s="1096"/>
      <c r="P189" s="1096"/>
      <c r="Q189" s="1096"/>
      <c r="R189" s="1096"/>
      <c r="S189" s="1096"/>
      <c r="T189" s="1096"/>
      <c r="U189" s="1096"/>
      <c r="V189" s="1096"/>
      <c r="W189" s="1096"/>
      <c r="X189" s="1096"/>
      <c r="Y189" s="1096"/>
      <c r="Z189" s="1096"/>
      <c r="AA189" s="1096"/>
      <c r="AB189" s="1096"/>
      <c r="AC189" s="1096"/>
      <c r="AD189" s="1096"/>
      <c r="AE189" s="1096"/>
      <c r="AF189" s="1096"/>
      <c r="AG189" s="1096"/>
      <c r="AH189" s="1096"/>
      <c r="AI189" s="1096"/>
      <c r="AJ189" s="1096"/>
    </row>
    <row r="190" spans="1:36" x14ac:dyDescent="0.25">
      <c r="A190" s="1096"/>
      <c r="B190" s="1451" t="s">
        <v>1306</v>
      </c>
      <c r="C190" s="1453">
        <v>1</v>
      </c>
      <c r="D190" s="1453">
        <v>1</v>
      </c>
      <c r="E190" s="1453">
        <v>1</v>
      </c>
      <c r="F190" s="1453">
        <v>1</v>
      </c>
      <c r="G190" s="1453">
        <v>1</v>
      </c>
      <c r="H190" s="1453">
        <v>1</v>
      </c>
      <c r="I190" s="1453">
        <v>1</v>
      </c>
      <c r="J190" s="1096"/>
      <c r="K190" s="1096"/>
      <c r="L190" s="1096"/>
      <c r="M190" s="1096"/>
      <c r="N190" s="1096"/>
      <c r="O190" s="1096"/>
      <c r="P190" s="1096"/>
      <c r="Q190" s="1096"/>
      <c r="R190" s="1096"/>
      <c r="S190" s="1096"/>
      <c r="T190" s="1096"/>
      <c r="U190" s="1096"/>
      <c r="V190" s="1096"/>
      <c r="W190" s="1096"/>
      <c r="X190" s="1096"/>
      <c r="Y190" s="1096"/>
      <c r="Z190" s="1096"/>
      <c r="AA190" s="1096"/>
      <c r="AB190" s="1096"/>
      <c r="AC190" s="1096"/>
      <c r="AD190" s="1096"/>
      <c r="AE190" s="1096"/>
      <c r="AF190" s="1096"/>
      <c r="AG190" s="1096"/>
      <c r="AH190" s="1096"/>
      <c r="AI190" s="1096"/>
      <c r="AJ190" s="1096"/>
    </row>
    <row r="191" spans="1:36" x14ac:dyDescent="0.25">
      <c r="A191" s="1096"/>
      <c r="B191" s="1451" t="s">
        <v>1305</v>
      </c>
      <c r="C191" s="1452">
        <f>+MAX(F3:G3)</f>
        <v>1.05</v>
      </c>
      <c r="D191" s="1452">
        <f>+MAX(F4:G4)</f>
        <v>1.05</v>
      </c>
      <c r="E191" s="1452">
        <f>+MAX(F5:G5)</f>
        <v>1.05</v>
      </c>
      <c r="F191" s="1452">
        <f>+MAX(F6:G6)</f>
        <v>1.05</v>
      </c>
      <c r="G191" s="1452">
        <f>+MAX(F7:G7)</f>
        <v>1.05</v>
      </c>
      <c r="H191" s="1452">
        <f>+MAX(F8:G8)</f>
        <v>1.05</v>
      </c>
      <c r="I191" s="1452">
        <f>+MAX(F9:G9)</f>
        <v>1.05</v>
      </c>
      <c r="J191" s="1096"/>
      <c r="K191" s="1096"/>
      <c r="L191" s="1096"/>
      <c r="M191" s="1096"/>
      <c r="N191" s="1096"/>
      <c r="O191" s="1096"/>
      <c r="P191" s="1096"/>
      <c r="Q191" s="1096"/>
      <c r="R191" s="1096"/>
      <c r="S191" s="1096"/>
      <c r="T191" s="1096"/>
      <c r="U191" s="1096"/>
      <c r="V191" s="1096"/>
      <c r="W191" s="1096"/>
      <c r="X191" s="1096"/>
      <c r="Y191" s="1096"/>
      <c r="Z191" s="1096"/>
      <c r="AA191" s="1096"/>
      <c r="AB191" s="1096"/>
      <c r="AC191" s="1096"/>
      <c r="AD191" s="1096"/>
      <c r="AE191" s="1096"/>
      <c r="AF191" s="1096"/>
      <c r="AG191" s="1096"/>
      <c r="AH191" s="1096"/>
      <c r="AI191" s="1096"/>
      <c r="AJ191" s="1096"/>
    </row>
    <row r="192" spans="1:36" x14ac:dyDescent="0.25">
      <c r="A192" s="1096"/>
      <c r="B192" s="1096"/>
      <c r="C192" s="1096"/>
      <c r="D192" s="1096"/>
      <c r="E192" s="1096"/>
      <c r="F192" s="1096"/>
      <c r="G192" s="1096"/>
      <c r="H192" s="1096"/>
      <c r="I192" s="1096"/>
      <c r="J192" s="1096"/>
      <c r="K192" s="1096"/>
      <c r="L192" s="1096"/>
      <c r="M192" s="1096"/>
      <c r="N192" s="1096"/>
      <c r="O192" s="1096"/>
      <c r="P192" s="1096"/>
      <c r="Q192" s="1096"/>
      <c r="R192" s="1096"/>
      <c r="S192" s="1096"/>
      <c r="T192" s="1096"/>
      <c r="U192" s="1096"/>
      <c r="V192" s="1096"/>
      <c r="W192" s="1096"/>
      <c r="X192" s="1096"/>
      <c r="Y192" s="1096"/>
      <c r="Z192" s="1096"/>
      <c r="AA192" s="1096"/>
      <c r="AB192" s="1096"/>
      <c r="AC192" s="1096"/>
      <c r="AD192" s="1096"/>
      <c r="AE192" s="1096"/>
      <c r="AF192" s="1096"/>
      <c r="AG192" s="1096"/>
      <c r="AH192" s="1096"/>
      <c r="AI192" s="1096"/>
      <c r="AJ192" s="1096"/>
    </row>
    <row r="193" spans="1:36" x14ac:dyDescent="0.25">
      <c r="A193" s="1096"/>
      <c r="B193" s="1096"/>
      <c r="C193" s="1096"/>
      <c r="D193" s="1096"/>
      <c r="E193" s="1096"/>
      <c r="F193" s="1096"/>
      <c r="G193" s="1096"/>
      <c r="H193" s="1096"/>
      <c r="I193" s="1096"/>
      <c r="J193" s="1096"/>
      <c r="K193" s="1096"/>
      <c r="L193" s="1096"/>
      <c r="M193" s="1096"/>
      <c r="N193" s="1096"/>
      <c r="O193" s="1096"/>
      <c r="P193" s="1096"/>
      <c r="Q193" s="1096"/>
      <c r="R193" s="1096"/>
      <c r="S193" s="1096"/>
      <c r="T193" s="1096"/>
      <c r="U193" s="1096"/>
      <c r="V193" s="1096"/>
      <c r="W193" s="1096"/>
      <c r="X193" s="1096"/>
      <c r="Y193" s="1096"/>
      <c r="Z193" s="1096"/>
      <c r="AA193" s="1096"/>
      <c r="AB193" s="1096"/>
      <c r="AC193" s="1096"/>
      <c r="AD193" s="1096"/>
      <c r="AE193" s="1096"/>
      <c r="AF193" s="1096"/>
      <c r="AG193" s="1096"/>
      <c r="AH193" s="1096"/>
      <c r="AI193" s="1096"/>
      <c r="AJ193" s="1096"/>
    </row>
    <row r="194" spans="1:36" x14ac:dyDescent="0.25">
      <c r="A194" s="1096"/>
      <c r="B194" s="1097" t="s">
        <v>1312</v>
      </c>
      <c r="C194" s="1096">
        <f>+MATCH(R12,C50:Y50,0)</f>
        <v>9</v>
      </c>
      <c r="D194" s="1096"/>
      <c r="E194" s="1096"/>
      <c r="F194" s="1096"/>
      <c r="G194" s="1096"/>
      <c r="H194" s="1096"/>
      <c r="I194" s="1096"/>
      <c r="J194" s="1096"/>
      <c r="K194" s="1096"/>
      <c r="L194" s="1096"/>
      <c r="M194" s="1096"/>
      <c r="N194" s="1096"/>
      <c r="O194" s="1096"/>
      <c r="P194" s="1096"/>
      <c r="Q194" s="1096"/>
      <c r="R194" s="1096"/>
      <c r="S194" s="1096"/>
      <c r="T194" s="1096"/>
      <c r="U194" s="1096"/>
      <c r="V194" s="1096"/>
      <c r="W194" s="1096"/>
      <c r="X194" s="1096"/>
      <c r="Y194" s="1096"/>
      <c r="Z194" s="1096"/>
      <c r="AA194" s="1096"/>
      <c r="AB194" s="1096"/>
      <c r="AC194" s="1096"/>
      <c r="AD194" s="1096"/>
      <c r="AE194" s="1096"/>
      <c r="AF194" s="1096"/>
      <c r="AG194" s="1096"/>
      <c r="AH194" s="1096"/>
      <c r="AI194" s="1096"/>
      <c r="AJ194" s="1096"/>
    </row>
    <row r="195" spans="1:36" x14ac:dyDescent="0.25">
      <c r="A195" s="1096"/>
      <c r="B195" s="1097" t="s">
        <v>1308</v>
      </c>
      <c r="C195" s="1096">
        <f ca="1">+MIN(OFFSET($B$251:$B$2250,0,C194))</f>
        <v>1.100068842518275</v>
      </c>
      <c r="D195" s="1096"/>
      <c r="E195" s="1096"/>
      <c r="F195" s="1096"/>
      <c r="G195" s="1096"/>
      <c r="H195" s="1096"/>
      <c r="I195" s="1096"/>
      <c r="J195" s="1096"/>
      <c r="K195" s="1096"/>
      <c r="L195" s="1096"/>
      <c r="M195" s="1096"/>
      <c r="N195" s="1096"/>
      <c r="O195" s="1096"/>
      <c r="P195" s="1096"/>
      <c r="Q195" s="1096"/>
      <c r="R195" s="1096"/>
      <c r="S195" s="1096"/>
      <c r="T195" s="1096"/>
      <c r="U195" s="1096"/>
      <c r="V195" s="1096"/>
      <c r="W195" s="1096"/>
      <c r="X195" s="1096"/>
      <c r="Y195" s="1096"/>
      <c r="Z195" s="1096"/>
      <c r="AA195" s="1096"/>
      <c r="AB195" s="1096"/>
      <c r="AC195" s="1096"/>
      <c r="AD195" s="1096"/>
      <c r="AE195" s="1096"/>
      <c r="AF195" s="1096"/>
      <c r="AG195" s="1096"/>
      <c r="AH195" s="1096"/>
      <c r="AI195" s="1096"/>
      <c r="AJ195" s="1096"/>
    </row>
    <row r="196" spans="1:36" x14ac:dyDescent="0.25">
      <c r="A196" s="1096"/>
      <c r="B196" s="1097" t="s">
        <v>1313</v>
      </c>
      <c r="C196" s="1096">
        <f ca="1">+MAX(OFFSET($B$251:$B$2250,0,C194))</f>
        <v>1.2005921112005278</v>
      </c>
      <c r="D196" s="1096"/>
      <c r="E196" s="1096"/>
      <c r="F196" s="1096"/>
      <c r="G196" s="1096"/>
      <c r="H196" s="1096"/>
      <c r="I196" s="1096"/>
      <c r="J196" s="1096"/>
      <c r="K196" s="1096"/>
      <c r="L196" s="1096"/>
      <c r="M196" s="1096"/>
      <c r="N196" s="1096"/>
      <c r="O196" s="1096"/>
      <c r="P196" s="1096"/>
      <c r="Q196" s="1096"/>
      <c r="R196" s="1096"/>
      <c r="S196" s="1096"/>
      <c r="T196" s="1096"/>
      <c r="U196" s="1096"/>
      <c r="V196" s="1096"/>
      <c r="W196" s="1096"/>
      <c r="X196" s="1096"/>
      <c r="Y196" s="1096"/>
      <c r="Z196" s="1096"/>
      <c r="AA196" s="1096"/>
      <c r="AB196" s="1096"/>
      <c r="AC196" s="1096"/>
      <c r="AD196" s="1096"/>
      <c r="AE196" s="1096"/>
      <c r="AF196" s="1096"/>
      <c r="AG196" s="1096"/>
      <c r="AH196" s="1096"/>
      <c r="AI196" s="1096"/>
      <c r="AJ196" s="1096"/>
    </row>
    <row r="197" spans="1:36" x14ac:dyDescent="0.25">
      <c r="A197" s="1096"/>
      <c r="B197" s="1097" t="s">
        <v>1315</v>
      </c>
      <c r="C197" s="1096">
        <f ca="1">+C196-C195</f>
        <v>0.10052326868225281</v>
      </c>
      <c r="D197" s="1096"/>
      <c r="E197" s="1096"/>
      <c r="F197" s="1096"/>
      <c r="G197" s="1096"/>
      <c r="H197" s="1096"/>
      <c r="I197" s="1096"/>
      <c r="J197" s="1096"/>
      <c r="K197" s="1096"/>
      <c r="L197" s="1096"/>
      <c r="M197" s="1096"/>
      <c r="N197" s="1096"/>
      <c r="O197" s="1096"/>
      <c r="P197" s="1096"/>
      <c r="Q197" s="1096"/>
      <c r="R197" s="1096"/>
      <c r="S197" s="1096"/>
      <c r="T197" s="1096"/>
      <c r="U197" s="1096"/>
      <c r="V197" s="1096"/>
      <c r="W197" s="1096"/>
      <c r="X197" s="1096"/>
      <c r="Y197" s="1096"/>
      <c r="Z197" s="1096"/>
      <c r="AA197" s="1096"/>
      <c r="AB197" s="1096"/>
      <c r="AC197" s="1096"/>
      <c r="AD197" s="1096"/>
      <c r="AE197" s="1096"/>
      <c r="AF197" s="1096"/>
      <c r="AG197" s="1096"/>
      <c r="AH197" s="1096"/>
      <c r="AI197" s="1096"/>
      <c r="AJ197" s="1096"/>
    </row>
    <row r="198" spans="1:36" x14ac:dyDescent="0.25">
      <c r="A198" s="1096"/>
      <c r="B198" s="1097" t="s">
        <v>1314</v>
      </c>
      <c r="C198" s="1096">
        <f ca="1">+OFFSET(B199,0,C194)</f>
        <v>1</v>
      </c>
      <c r="D198" s="1096"/>
      <c r="E198" s="1096"/>
      <c r="F198" s="1096"/>
      <c r="G198" s="1096"/>
      <c r="H198" s="1096"/>
      <c r="I198" s="1096"/>
      <c r="J198" s="1096"/>
      <c r="K198" s="1096"/>
      <c r="L198" s="1096"/>
      <c r="M198" s="1096"/>
      <c r="N198" s="1096"/>
      <c r="O198" s="1096"/>
      <c r="P198" s="1096"/>
      <c r="Q198" s="1096"/>
      <c r="R198" s="1096"/>
      <c r="S198" s="1096"/>
      <c r="T198" s="1096"/>
      <c r="U198" s="1096"/>
      <c r="V198" s="1096"/>
      <c r="W198" s="1096"/>
      <c r="X198" s="1096"/>
      <c r="Y198" s="1096"/>
      <c r="Z198" s="1096"/>
      <c r="AA198" s="1096"/>
      <c r="AB198" s="1096"/>
      <c r="AC198" s="1096"/>
      <c r="AD198" s="1096"/>
      <c r="AE198" s="1096"/>
      <c r="AF198" s="1096"/>
      <c r="AG198" s="1096"/>
      <c r="AH198" s="1096"/>
      <c r="AI198" s="1096"/>
      <c r="AJ198" s="1096"/>
    </row>
    <row r="199" spans="1:36" x14ac:dyDescent="0.25">
      <c r="A199" s="1096"/>
      <c r="B199" s="1097" t="s">
        <v>1314</v>
      </c>
      <c r="C199" s="1449">
        <f ca="1">+C3</f>
        <v>0.9</v>
      </c>
      <c r="D199" s="1456">
        <f ca="1">+C4</f>
        <v>379387</v>
      </c>
      <c r="E199" s="1449">
        <f ca="1">+C5</f>
        <v>0.08</v>
      </c>
      <c r="F199" s="1449">
        <f>+C6</f>
        <v>1</v>
      </c>
      <c r="G199" s="1449">
        <f>+C7</f>
        <v>1</v>
      </c>
      <c r="H199" s="1456">
        <f ca="1">+C8</f>
        <v>248498021.87377435</v>
      </c>
      <c r="I199" s="1456">
        <f ca="1">+C9</f>
        <v>8901358.0979094766</v>
      </c>
      <c r="J199" s="1096"/>
      <c r="K199" s="1096">
        <v>1</v>
      </c>
      <c r="L199" s="1096">
        <v>1</v>
      </c>
      <c r="M199" s="1096">
        <v>1</v>
      </c>
      <c r="N199" s="1096">
        <v>1</v>
      </c>
      <c r="O199" s="1096">
        <v>1</v>
      </c>
      <c r="P199" s="1096">
        <v>1</v>
      </c>
      <c r="Q199" s="1096">
        <v>1</v>
      </c>
      <c r="R199" s="1096">
        <v>1</v>
      </c>
      <c r="S199" s="1096">
        <v>1</v>
      </c>
      <c r="T199" s="1096">
        <v>1</v>
      </c>
      <c r="U199" s="1096">
        <v>1</v>
      </c>
      <c r="V199" s="1096">
        <v>1</v>
      </c>
      <c r="W199" s="1096">
        <v>1</v>
      </c>
      <c r="X199" s="1096">
        <v>1</v>
      </c>
      <c r="Y199" s="1096"/>
      <c r="Z199" s="1096"/>
      <c r="AA199" s="1096"/>
      <c r="AB199" s="1096"/>
      <c r="AC199" s="1096"/>
      <c r="AD199" s="1096"/>
      <c r="AE199" s="1096"/>
      <c r="AF199" s="1096"/>
      <c r="AG199" s="1096"/>
      <c r="AH199" s="1096"/>
      <c r="AI199" s="1096"/>
      <c r="AJ199" s="1096"/>
    </row>
    <row r="200" spans="1:36" x14ac:dyDescent="0.25">
      <c r="A200" s="1096"/>
      <c r="B200" s="1097" t="s">
        <v>1311</v>
      </c>
      <c r="C200" s="1096"/>
      <c r="D200" s="1096"/>
      <c r="E200" s="1096"/>
      <c r="F200" s="1096"/>
      <c r="G200" s="1096"/>
      <c r="H200" s="1096"/>
      <c r="I200" s="1096"/>
      <c r="J200" s="1096"/>
      <c r="K200" s="1096"/>
      <c r="L200" s="1096"/>
      <c r="M200" s="1096"/>
      <c r="N200" s="1096"/>
      <c r="O200" s="1096"/>
      <c r="P200" s="1096"/>
      <c r="Q200" s="1096"/>
      <c r="R200" s="1096"/>
      <c r="S200" s="1096"/>
      <c r="T200" s="1096"/>
      <c r="U200" s="1096"/>
      <c r="V200" s="1096"/>
      <c r="W200" s="1096"/>
      <c r="X200" s="1096"/>
      <c r="Y200" s="1096"/>
      <c r="Z200" s="1096"/>
      <c r="AA200" s="1096"/>
      <c r="AB200" s="1096"/>
      <c r="AC200" s="1096"/>
      <c r="AD200" s="1096"/>
      <c r="AE200" s="1096"/>
      <c r="AF200" s="1096"/>
      <c r="AG200" s="1096"/>
      <c r="AH200" s="1096"/>
      <c r="AI200" s="1096"/>
      <c r="AJ200" s="1096"/>
    </row>
    <row r="201" spans="1:36" x14ac:dyDescent="0.25">
      <c r="A201" s="1096"/>
      <c r="B201" s="1097" t="s">
        <v>1308</v>
      </c>
      <c r="C201" s="1097" t="s">
        <v>1309</v>
      </c>
      <c r="D201" s="1096"/>
      <c r="E201" s="1097" t="s">
        <v>1316</v>
      </c>
      <c r="F201" s="1097" t="s">
        <v>1317</v>
      </c>
      <c r="G201" s="1097" t="s">
        <v>1318</v>
      </c>
      <c r="H201" s="1097" t="s">
        <v>1319</v>
      </c>
      <c r="I201" s="1097" t="s">
        <v>1320</v>
      </c>
      <c r="J201" s="1096"/>
      <c r="K201" s="1096"/>
      <c r="L201" s="1096"/>
      <c r="M201" s="1096"/>
      <c r="N201" s="1096"/>
      <c r="O201" s="1096"/>
      <c r="P201" s="1096"/>
      <c r="Q201" s="1096"/>
      <c r="R201" s="1096"/>
      <c r="S201" s="1096"/>
      <c r="T201" s="1096"/>
      <c r="U201" s="1096"/>
      <c r="V201" s="1096"/>
      <c r="W201" s="1096"/>
      <c r="X201" s="1096"/>
      <c r="Y201" s="1096"/>
      <c r="Z201" s="1096"/>
      <c r="AA201" s="1096"/>
      <c r="AB201" s="1096"/>
      <c r="AC201" s="1096"/>
      <c r="AD201" s="1096"/>
      <c r="AE201" s="1096"/>
      <c r="AF201" s="1096"/>
      <c r="AG201" s="1096"/>
      <c r="AH201" s="1096"/>
      <c r="AI201" s="1096"/>
      <c r="AJ201" s="1096"/>
    </row>
    <row r="202" spans="1:36" x14ac:dyDescent="0.25">
      <c r="A202" s="1096"/>
      <c r="B202" s="1101">
        <f ca="1">+C195</f>
        <v>1.100068842518275</v>
      </c>
      <c r="C202" s="1454">
        <f ca="1">+B202+($C$197/20)</f>
        <v>1.1050950059523876</v>
      </c>
      <c r="D202" s="1096">
        <f t="shared" ref="D202:D221" ca="1" si="88">+COUNTIFS(OFFSET(B$251:B$2250,0,$C$194),"&gt;="&amp;$B202,
OFFSET(B$251:B$2250,0,$C$194),"&lt;="&amp;$C202)</f>
        <v>10</v>
      </c>
      <c r="E202" s="1457">
        <f ca="1">+B202*$C$198</f>
        <v>1.100068842518275</v>
      </c>
      <c r="F202" s="1457">
        <f ca="1">+C202*$C$198</f>
        <v>1.1050950059523876</v>
      </c>
      <c r="G202" s="1456">
        <f ca="1">+AVERAGE(E202:F202)</f>
        <v>1.1025819242353312</v>
      </c>
      <c r="H202" s="1096">
        <f ca="1">+D202/$D$223</f>
        <v>5.0000000000000001E-3</v>
      </c>
      <c r="I202" s="1096">
        <f ca="1">+H202</f>
        <v>5.0000000000000001E-3</v>
      </c>
      <c r="J202" s="1096"/>
      <c r="K202" s="1096"/>
      <c r="L202" s="1096"/>
      <c r="M202" s="1096"/>
      <c r="N202" s="1096"/>
      <c r="O202" s="1096"/>
      <c r="P202" s="1096"/>
      <c r="Q202" s="1096"/>
      <c r="R202" s="1096"/>
      <c r="S202" s="1096"/>
      <c r="T202" s="1096"/>
      <c r="U202" s="1096"/>
      <c r="V202" s="1096"/>
      <c r="W202" s="1096"/>
      <c r="X202" s="1096"/>
      <c r="Y202" s="1096"/>
      <c r="Z202" s="1096"/>
      <c r="AA202" s="1096"/>
      <c r="AB202" s="1096"/>
      <c r="AC202" s="1096"/>
      <c r="AD202" s="1096"/>
      <c r="AE202" s="1096"/>
      <c r="AF202" s="1096"/>
      <c r="AG202" s="1096"/>
      <c r="AH202" s="1096"/>
      <c r="AI202" s="1096"/>
      <c r="AJ202" s="1096"/>
    </row>
    <row r="203" spans="1:36" x14ac:dyDescent="0.25">
      <c r="A203" s="1096"/>
      <c r="B203" s="1101">
        <f ca="1">+C202</f>
        <v>1.1050950059523876</v>
      </c>
      <c r="C203" s="1454">
        <f t="shared" ref="C203:C220" ca="1" si="89">+B203+($C$197/20)</f>
        <v>1.1101211693865003</v>
      </c>
      <c r="D203" s="1096">
        <f t="shared" ca="1" si="88"/>
        <v>15</v>
      </c>
      <c r="E203" s="1457">
        <f t="shared" ref="E203:E221" ca="1" si="90">+B203*$C$198</f>
        <v>1.1050950059523876</v>
      </c>
      <c r="F203" s="1457">
        <f t="shared" ref="F203:F222" ca="1" si="91">+C203*$C$198</f>
        <v>1.1101211693865003</v>
      </c>
      <c r="G203" s="1456">
        <f t="shared" ref="G203:G222" ca="1" si="92">+AVERAGE(E203:F203)</f>
        <v>1.1076080876694441</v>
      </c>
      <c r="H203" s="1096">
        <f t="shared" ref="H203:H221" ca="1" si="93">+D203/$D$223</f>
        <v>7.4999999999999997E-3</v>
      </c>
      <c r="I203" s="1096">
        <f ca="1">+I202+H203</f>
        <v>1.2500000000000001E-2</v>
      </c>
      <c r="J203" s="1096"/>
      <c r="K203" s="1096"/>
      <c r="L203" s="1096"/>
      <c r="M203" s="1096"/>
      <c r="N203" s="1096"/>
      <c r="O203" s="1096"/>
      <c r="P203" s="1096"/>
      <c r="Q203" s="1096"/>
      <c r="R203" s="1096"/>
      <c r="S203" s="1096"/>
      <c r="T203" s="1096"/>
      <c r="U203" s="1096"/>
      <c r="V203" s="1096"/>
      <c r="W203" s="1096"/>
      <c r="X203" s="1096"/>
      <c r="Y203" s="1096"/>
      <c r="Z203" s="1096"/>
      <c r="AA203" s="1096"/>
      <c r="AB203" s="1096"/>
      <c r="AC203" s="1096"/>
      <c r="AD203" s="1096"/>
      <c r="AE203" s="1096"/>
      <c r="AF203" s="1096"/>
      <c r="AG203" s="1096"/>
      <c r="AH203" s="1096"/>
      <c r="AI203" s="1096"/>
      <c r="AJ203" s="1096"/>
    </row>
    <row r="204" spans="1:36" x14ac:dyDescent="0.25">
      <c r="A204" s="1096"/>
      <c r="B204" s="1101">
        <f t="shared" ref="B204:B221" ca="1" si="94">+C203</f>
        <v>1.1101211693865003</v>
      </c>
      <c r="C204" s="1454">
        <f t="shared" ca="1" si="89"/>
        <v>1.115147332820613</v>
      </c>
      <c r="D204" s="1096">
        <f t="shared" ca="1" si="88"/>
        <v>42</v>
      </c>
      <c r="E204" s="1457">
        <f t="shared" ca="1" si="90"/>
        <v>1.1101211693865003</v>
      </c>
      <c r="F204" s="1457">
        <f t="shared" ca="1" si="91"/>
        <v>1.115147332820613</v>
      </c>
      <c r="G204" s="1456">
        <f t="shared" ca="1" si="92"/>
        <v>1.1126342511035565</v>
      </c>
      <c r="H204" s="1096">
        <f t="shared" ca="1" si="93"/>
        <v>2.1000000000000001E-2</v>
      </c>
      <c r="I204" s="1096">
        <f t="shared" ref="I204:I221" ca="1" si="95">+I203+H204</f>
        <v>3.3500000000000002E-2</v>
      </c>
      <c r="J204" s="1096"/>
      <c r="K204" s="1096"/>
      <c r="L204" s="1096"/>
      <c r="M204" s="1096"/>
      <c r="N204" s="1096"/>
      <c r="O204" s="1096"/>
      <c r="P204" s="1096"/>
      <c r="Q204" s="1096"/>
      <c r="R204" s="1096"/>
      <c r="S204" s="1096"/>
      <c r="T204" s="1096"/>
      <c r="U204" s="1096"/>
      <c r="V204" s="1096"/>
      <c r="W204" s="1096"/>
      <c r="X204" s="1096"/>
      <c r="Y204" s="1096"/>
      <c r="Z204" s="1096"/>
      <c r="AA204" s="1096"/>
      <c r="AB204" s="1096"/>
      <c r="AC204" s="1096"/>
      <c r="AD204" s="1096"/>
      <c r="AE204" s="1096"/>
      <c r="AF204" s="1096"/>
      <c r="AG204" s="1096"/>
      <c r="AH204" s="1096"/>
      <c r="AI204" s="1096"/>
      <c r="AJ204" s="1096"/>
    </row>
    <row r="205" spans="1:36" x14ac:dyDescent="0.25">
      <c r="A205" s="1096"/>
      <c r="B205" s="1101">
        <f t="shared" ca="1" si="94"/>
        <v>1.115147332820613</v>
      </c>
      <c r="C205" s="1454">
        <f t="shared" ca="1" si="89"/>
        <v>1.1201734962547256</v>
      </c>
      <c r="D205" s="1096">
        <f t="shared" ca="1" si="88"/>
        <v>63</v>
      </c>
      <c r="E205" s="1457">
        <f t="shared" ca="1" si="90"/>
        <v>1.115147332820613</v>
      </c>
      <c r="F205" s="1457">
        <f t="shared" ca="1" si="91"/>
        <v>1.1201734962547256</v>
      </c>
      <c r="G205" s="1456">
        <f t="shared" ca="1" si="92"/>
        <v>1.1176604145376694</v>
      </c>
      <c r="H205" s="1096">
        <f t="shared" ca="1" si="93"/>
        <v>3.15E-2</v>
      </c>
      <c r="I205" s="1096">
        <f t="shared" ca="1" si="95"/>
        <v>6.5000000000000002E-2</v>
      </c>
      <c r="J205" s="1096"/>
      <c r="K205" s="1096"/>
      <c r="L205" s="1096"/>
      <c r="M205" s="1096"/>
      <c r="N205" s="1096"/>
      <c r="O205" s="1096"/>
      <c r="P205" s="1096"/>
      <c r="Q205" s="1096"/>
      <c r="R205" s="1096"/>
      <c r="S205" s="1096"/>
      <c r="T205" s="1096"/>
      <c r="U205" s="1096"/>
      <c r="V205" s="1096"/>
      <c r="W205" s="1096"/>
      <c r="X205" s="1096"/>
      <c r="Y205" s="1096"/>
      <c r="Z205" s="1096"/>
      <c r="AA205" s="1096"/>
      <c r="AB205" s="1096"/>
      <c r="AC205" s="1096"/>
      <c r="AD205" s="1096"/>
      <c r="AE205" s="1096"/>
      <c r="AF205" s="1096"/>
      <c r="AG205" s="1096"/>
      <c r="AH205" s="1096"/>
      <c r="AI205" s="1096"/>
      <c r="AJ205" s="1096"/>
    </row>
    <row r="206" spans="1:36" x14ac:dyDescent="0.25">
      <c r="A206" s="1096"/>
      <c r="B206" s="1101">
        <f t="shared" ca="1" si="94"/>
        <v>1.1201734962547256</v>
      </c>
      <c r="C206" s="1454">
        <f t="shared" ca="1" si="89"/>
        <v>1.1251996596888383</v>
      </c>
      <c r="D206" s="1096">
        <f t="shared" ca="1" si="88"/>
        <v>110</v>
      </c>
      <c r="E206" s="1457">
        <f t="shared" ca="1" si="90"/>
        <v>1.1201734962547256</v>
      </c>
      <c r="F206" s="1457">
        <f t="shared" ca="1" si="91"/>
        <v>1.1251996596888383</v>
      </c>
      <c r="G206" s="1456">
        <f t="shared" ca="1" si="92"/>
        <v>1.1226865779717818</v>
      </c>
      <c r="H206" s="1096">
        <f t="shared" ca="1" si="93"/>
        <v>5.5E-2</v>
      </c>
      <c r="I206" s="1096">
        <f t="shared" ca="1" si="95"/>
        <v>0.12</v>
      </c>
      <c r="J206" s="1096"/>
      <c r="K206" s="1096"/>
      <c r="L206" s="1096"/>
      <c r="M206" s="1096"/>
      <c r="N206" s="1096"/>
      <c r="O206" s="1096"/>
      <c r="P206" s="1096"/>
      <c r="Q206" s="1096"/>
      <c r="R206" s="1096"/>
      <c r="S206" s="1096"/>
      <c r="T206" s="1096"/>
      <c r="U206" s="1096"/>
      <c r="V206" s="1096"/>
      <c r="W206" s="1096"/>
      <c r="X206" s="1096"/>
      <c r="Y206" s="1096"/>
      <c r="Z206" s="1096"/>
      <c r="AA206" s="1096"/>
      <c r="AB206" s="1096"/>
      <c r="AC206" s="1096"/>
      <c r="AD206" s="1096"/>
      <c r="AE206" s="1096"/>
      <c r="AF206" s="1096"/>
      <c r="AG206" s="1096"/>
      <c r="AH206" s="1096"/>
      <c r="AI206" s="1096"/>
      <c r="AJ206" s="1096"/>
    </row>
    <row r="207" spans="1:36" x14ac:dyDescent="0.25">
      <c r="A207" s="1096"/>
      <c r="B207" s="1101">
        <f t="shared" ca="1" si="94"/>
        <v>1.1251996596888383</v>
      </c>
      <c r="C207" s="1454">
        <f t="shared" ca="1" si="89"/>
        <v>1.1302258231229509</v>
      </c>
      <c r="D207" s="1096">
        <f t="shared" ca="1" si="88"/>
        <v>116</v>
      </c>
      <c r="E207" s="1457">
        <f t="shared" ca="1" si="90"/>
        <v>1.1251996596888383</v>
      </c>
      <c r="F207" s="1457">
        <f t="shared" ca="1" si="91"/>
        <v>1.1302258231229509</v>
      </c>
      <c r="G207" s="1456">
        <f t="shared" ca="1" si="92"/>
        <v>1.1277127414058947</v>
      </c>
      <c r="H207" s="1096">
        <f t="shared" ca="1" si="93"/>
        <v>5.8000000000000003E-2</v>
      </c>
      <c r="I207" s="1096">
        <f t="shared" ca="1" si="95"/>
        <v>0.17799999999999999</v>
      </c>
      <c r="J207" s="1096"/>
      <c r="K207" s="1096"/>
      <c r="L207" s="1096"/>
      <c r="M207" s="1096"/>
      <c r="N207" s="1096"/>
      <c r="O207" s="1096"/>
      <c r="P207" s="1096"/>
      <c r="Q207" s="1096"/>
      <c r="R207" s="1096"/>
      <c r="S207" s="1096"/>
      <c r="T207" s="1096"/>
      <c r="U207" s="1096"/>
      <c r="V207" s="1096"/>
      <c r="W207" s="1096"/>
      <c r="X207" s="1096"/>
      <c r="Y207" s="1096"/>
      <c r="Z207" s="1096"/>
      <c r="AA207" s="1096"/>
      <c r="AB207" s="1096"/>
      <c r="AC207" s="1096"/>
      <c r="AD207" s="1096"/>
      <c r="AE207" s="1096"/>
      <c r="AF207" s="1096"/>
      <c r="AG207" s="1096"/>
      <c r="AH207" s="1096"/>
      <c r="AI207" s="1096"/>
      <c r="AJ207" s="1096"/>
    </row>
    <row r="208" spans="1:36" x14ac:dyDescent="0.25">
      <c r="A208" s="1096"/>
      <c r="B208" s="1101">
        <f t="shared" ca="1" si="94"/>
        <v>1.1302258231229509</v>
      </c>
      <c r="C208" s="1454">
        <f t="shared" ca="1" si="89"/>
        <v>1.1352519865570636</v>
      </c>
      <c r="D208" s="1096">
        <f t="shared" ca="1" si="88"/>
        <v>146</v>
      </c>
      <c r="E208" s="1457">
        <f t="shared" ca="1" si="90"/>
        <v>1.1302258231229509</v>
      </c>
      <c r="F208" s="1457">
        <f t="shared" ca="1" si="91"/>
        <v>1.1352519865570636</v>
      </c>
      <c r="G208" s="1456">
        <f t="shared" ca="1" si="92"/>
        <v>1.1327389048400072</v>
      </c>
      <c r="H208" s="1096">
        <f t="shared" ca="1" si="93"/>
        <v>7.2999999999999995E-2</v>
      </c>
      <c r="I208" s="1096">
        <f t="shared" ca="1" si="95"/>
        <v>0.251</v>
      </c>
      <c r="J208" s="1096"/>
      <c r="K208" s="1096"/>
      <c r="L208" s="1096"/>
      <c r="M208" s="1096"/>
      <c r="N208" s="1096"/>
      <c r="O208" s="1096"/>
      <c r="P208" s="1096"/>
      <c r="Q208" s="1096"/>
      <c r="R208" s="1096"/>
      <c r="S208" s="1096"/>
      <c r="T208" s="1096"/>
      <c r="U208" s="1096"/>
      <c r="V208" s="1096"/>
      <c r="W208" s="1096"/>
      <c r="X208" s="1096"/>
      <c r="Y208" s="1096"/>
      <c r="Z208" s="1096"/>
      <c r="AA208" s="1096"/>
      <c r="AB208" s="1096"/>
      <c r="AC208" s="1096"/>
      <c r="AD208" s="1096"/>
      <c r="AE208" s="1096"/>
      <c r="AF208" s="1096"/>
      <c r="AG208" s="1096"/>
      <c r="AH208" s="1096"/>
      <c r="AI208" s="1096"/>
      <c r="AJ208" s="1096"/>
    </row>
    <row r="209" spans="1:36" x14ac:dyDescent="0.25">
      <c r="A209" s="1096"/>
      <c r="B209" s="1101">
        <f t="shared" ca="1" si="94"/>
        <v>1.1352519865570636</v>
      </c>
      <c r="C209" s="1454">
        <f t="shared" ca="1" si="89"/>
        <v>1.1402781499911763</v>
      </c>
      <c r="D209" s="1096">
        <f t="shared" ca="1" si="88"/>
        <v>181</v>
      </c>
      <c r="E209" s="1457">
        <f t="shared" ca="1" si="90"/>
        <v>1.1352519865570636</v>
      </c>
      <c r="F209" s="1457">
        <f t="shared" ca="1" si="91"/>
        <v>1.1402781499911763</v>
      </c>
      <c r="G209" s="1456">
        <f t="shared" ca="1" si="92"/>
        <v>1.1377650682741201</v>
      </c>
      <c r="H209" s="1096">
        <f t="shared" ca="1" si="93"/>
        <v>9.0499999999999997E-2</v>
      </c>
      <c r="I209" s="1096">
        <f t="shared" ca="1" si="95"/>
        <v>0.34150000000000003</v>
      </c>
      <c r="J209" s="1096"/>
      <c r="K209" s="1096"/>
      <c r="L209" s="1096"/>
      <c r="M209" s="1096"/>
      <c r="N209" s="1096"/>
      <c r="O209" s="1096"/>
      <c r="P209" s="1096"/>
      <c r="Q209" s="1096"/>
      <c r="R209" s="1096"/>
      <c r="S209" s="1096"/>
      <c r="T209" s="1096"/>
      <c r="U209" s="1096"/>
      <c r="V209" s="1096"/>
      <c r="W209" s="1096"/>
      <c r="X209" s="1096"/>
      <c r="Y209" s="1096"/>
      <c r="Z209" s="1096"/>
      <c r="AA209" s="1096"/>
      <c r="AB209" s="1096"/>
      <c r="AC209" s="1096"/>
      <c r="AD209" s="1096"/>
      <c r="AE209" s="1096"/>
      <c r="AF209" s="1096"/>
      <c r="AG209" s="1096"/>
      <c r="AH209" s="1096"/>
      <c r="AI209" s="1096"/>
      <c r="AJ209" s="1096"/>
    </row>
    <row r="210" spans="1:36" x14ac:dyDescent="0.25">
      <c r="A210" s="1096"/>
      <c r="B210" s="1101">
        <f t="shared" ca="1" si="94"/>
        <v>1.1402781499911763</v>
      </c>
      <c r="C210" s="1454">
        <f t="shared" ca="1" si="89"/>
        <v>1.1453043134252889</v>
      </c>
      <c r="D210" s="1096">
        <f t="shared" ca="1" si="88"/>
        <v>189</v>
      </c>
      <c r="E210" s="1457">
        <f t="shared" ca="1" si="90"/>
        <v>1.1402781499911763</v>
      </c>
      <c r="F210" s="1457">
        <f t="shared" ca="1" si="91"/>
        <v>1.1453043134252889</v>
      </c>
      <c r="G210" s="1456">
        <f t="shared" ca="1" si="92"/>
        <v>1.1427912317082325</v>
      </c>
      <c r="H210" s="1096">
        <f t="shared" ca="1" si="93"/>
        <v>9.4500000000000001E-2</v>
      </c>
      <c r="I210" s="1096">
        <f t="shared" ca="1" si="95"/>
        <v>0.43600000000000005</v>
      </c>
      <c r="J210" s="1096"/>
      <c r="K210" s="1096"/>
      <c r="L210" s="1096"/>
      <c r="M210" s="1096"/>
      <c r="N210" s="1096"/>
      <c r="O210" s="1096"/>
      <c r="P210" s="1096"/>
      <c r="Q210" s="1096"/>
      <c r="R210" s="1096"/>
      <c r="S210" s="1096"/>
      <c r="T210" s="1096"/>
      <c r="U210" s="1096"/>
      <c r="V210" s="1096"/>
      <c r="W210" s="1096"/>
      <c r="X210" s="1096"/>
      <c r="Y210" s="1096"/>
      <c r="Z210" s="1096"/>
      <c r="AA210" s="1096"/>
      <c r="AB210" s="1096"/>
      <c r="AC210" s="1096"/>
      <c r="AD210" s="1096"/>
      <c r="AE210" s="1096"/>
      <c r="AF210" s="1096"/>
      <c r="AG210" s="1096"/>
      <c r="AH210" s="1096"/>
      <c r="AI210" s="1096"/>
      <c r="AJ210" s="1096"/>
    </row>
    <row r="211" spans="1:36" x14ac:dyDescent="0.25">
      <c r="A211" s="1096"/>
      <c r="B211" s="1101">
        <f t="shared" ca="1" si="94"/>
        <v>1.1453043134252889</v>
      </c>
      <c r="C211" s="1454">
        <f t="shared" ca="1" si="89"/>
        <v>1.1503304768594016</v>
      </c>
      <c r="D211" s="1096">
        <f t="shared" ca="1" si="88"/>
        <v>226</v>
      </c>
      <c r="E211" s="1457">
        <f t="shared" ca="1" si="90"/>
        <v>1.1453043134252889</v>
      </c>
      <c r="F211" s="1457">
        <f t="shared" ca="1" si="91"/>
        <v>1.1503304768594016</v>
      </c>
      <c r="G211" s="1456">
        <f t="shared" ca="1" si="92"/>
        <v>1.1478173951423454</v>
      </c>
      <c r="H211" s="1096">
        <f t="shared" ca="1" si="93"/>
        <v>0.113</v>
      </c>
      <c r="I211" s="1096">
        <f t="shared" ca="1" si="95"/>
        <v>0.54900000000000004</v>
      </c>
      <c r="J211" s="1096"/>
      <c r="K211" s="1096"/>
      <c r="L211" s="1096"/>
      <c r="M211" s="1096"/>
      <c r="N211" s="1096"/>
      <c r="O211" s="1096"/>
      <c r="P211" s="1096"/>
      <c r="Q211" s="1096"/>
      <c r="R211" s="1096"/>
      <c r="S211" s="1096"/>
      <c r="T211" s="1096"/>
      <c r="U211" s="1096"/>
      <c r="V211" s="1096"/>
      <c r="W211" s="1096"/>
      <c r="X211" s="1096"/>
      <c r="Y211" s="1096"/>
      <c r="Z211" s="1096"/>
      <c r="AA211" s="1096"/>
      <c r="AB211" s="1096"/>
      <c r="AC211" s="1096"/>
      <c r="AD211" s="1096"/>
      <c r="AE211" s="1096"/>
      <c r="AF211" s="1096"/>
      <c r="AG211" s="1096"/>
      <c r="AH211" s="1096"/>
      <c r="AI211" s="1096"/>
      <c r="AJ211" s="1096"/>
    </row>
    <row r="212" spans="1:36" x14ac:dyDescent="0.25">
      <c r="A212" s="1096"/>
      <c r="B212" s="1101">
        <f t="shared" ca="1" si="94"/>
        <v>1.1503304768594016</v>
      </c>
      <c r="C212" s="1454">
        <f t="shared" ca="1" si="89"/>
        <v>1.1553566402935143</v>
      </c>
      <c r="D212" s="1096">
        <f t="shared" ca="1" si="88"/>
        <v>204</v>
      </c>
      <c r="E212" s="1457">
        <f t="shared" ca="1" si="90"/>
        <v>1.1503304768594016</v>
      </c>
      <c r="F212" s="1457">
        <f t="shared" ca="1" si="91"/>
        <v>1.1553566402935143</v>
      </c>
      <c r="G212" s="1456">
        <f t="shared" ca="1" si="92"/>
        <v>1.1528435585764578</v>
      </c>
      <c r="H212" s="1096">
        <f t="shared" ca="1" si="93"/>
        <v>0.10199999999999999</v>
      </c>
      <c r="I212" s="1096">
        <f t="shared" ca="1" si="95"/>
        <v>0.65100000000000002</v>
      </c>
      <c r="J212" s="1096"/>
      <c r="K212" s="1096"/>
      <c r="L212" s="1096"/>
      <c r="M212" s="1096"/>
      <c r="N212" s="1096"/>
      <c r="O212" s="1096"/>
      <c r="P212" s="1096"/>
      <c r="Q212" s="1096"/>
      <c r="R212" s="1096"/>
      <c r="S212" s="1096"/>
      <c r="T212" s="1096"/>
      <c r="U212" s="1096"/>
      <c r="V212" s="1096"/>
      <c r="W212" s="1096"/>
      <c r="X212" s="1096"/>
      <c r="Y212" s="1096"/>
      <c r="Z212" s="1096"/>
      <c r="AA212" s="1096"/>
      <c r="AB212" s="1096"/>
      <c r="AC212" s="1096"/>
      <c r="AD212" s="1096"/>
      <c r="AE212" s="1096"/>
      <c r="AF212" s="1096"/>
      <c r="AG212" s="1096"/>
      <c r="AH212" s="1096"/>
      <c r="AI212" s="1096"/>
      <c r="AJ212" s="1096"/>
    </row>
    <row r="213" spans="1:36" x14ac:dyDescent="0.25">
      <c r="A213" s="1096"/>
      <c r="B213" s="1101">
        <f t="shared" ca="1" si="94"/>
        <v>1.1553566402935143</v>
      </c>
      <c r="C213" s="1454">
        <f t="shared" ca="1" si="89"/>
        <v>1.1603828037276269</v>
      </c>
      <c r="D213" s="1096">
        <f t="shared" ca="1" si="88"/>
        <v>174</v>
      </c>
      <c r="E213" s="1457">
        <f t="shared" ca="1" si="90"/>
        <v>1.1553566402935143</v>
      </c>
      <c r="F213" s="1457">
        <f t="shared" ca="1" si="91"/>
        <v>1.1603828037276269</v>
      </c>
      <c r="G213" s="1456">
        <f t="shared" ca="1" si="92"/>
        <v>1.1578697220105707</v>
      </c>
      <c r="H213" s="1096">
        <f t="shared" ca="1" si="93"/>
        <v>8.6999999999999994E-2</v>
      </c>
      <c r="I213" s="1096">
        <f t="shared" ca="1" si="95"/>
        <v>0.73799999999999999</v>
      </c>
      <c r="J213" s="1096"/>
      <c r="K213" s="1096"/>
      <c r="L213" s="1096"/>
      <c r="M213" s="1096"/>
      <c r="N213" s="1096"/>
      <c r="O213" s="1096"/>
      <c r="P213" s="1096"/>
      <c r="Q213" s="1096"/>
      <c r="R213" s="1096"/>
      <c r="S213" s="1096"/>
      <c r="T213" s="1096"/>
      <c r="U213" s="1096"/>
      <c r="V213" s="1096"/>
      <c r="W213" s="1096"/>
      <c r="X213" s="1096"/>
      <c r="Y213" s="1096"/>
      <c r="Z213" s="1096"/>
      <c r="AA213" s="1096"/>
      <c r="AB213" s="1096"/>
      <c r="AC213" s="1096"/>
      <c r="AD213" s="1096"/>
      <c r="AE213" s="1096"/>
      <c r="AF213" s="1096"/>
      <c r="AG213" s="1096"/>
      <c r="AH213" s="1096"/>
      <c r="AI213" s="1096"/>
      <c r="AJ213" s="1096"/>
    </row>
    <row r="214" spans="1:36" x14ac:dyDescent="0.25">
      <c r="A214" s="1096"/>
      <c r="B214" s="1101">
        <f t="shared" ca="1" si="94"/>
        <v>1.1603828037276269</v>
      </c>
      <c r="C214" s="1454">
        <f t="shared" ca="1" si="89"/>
        <v>1.1654089671617396</v>
      </c>
      <c r="D214" s="1096">
        <f t="shared" ca="1" si="88"/>
        <v>142</v>
      </c>
      <c r="E214" s="1457">
        <f t="shared" ca="1" si="90"/>
        <v>1.1603828037276269</v>
      </c>
      <c r="F214" s="1457">
        <f t="shared" ca="1" si="91"/>
        <v>1.1654089671617396</v>
      </c>
      <c r="G214" s="1456">
        <f t="shared" ca="1" si="92"/>
        <v>1.1628958854446831</v>
      </c>
      <c r="H214" s="1096">
        <f t="shared" ca="1" si="93"/>
        <v>7.0999999999999994E-2</v>
      </c>
      <c r="I214" s="1096">
        <f t="shared" ca="1" si="95"/>
        <v>0.80899999999999994</v>
      </c>
      <c r="J214" s="1096"/>
      <c r="K214" s="1096"/>
      <c r="L214" s="1096"/>
      <c r="M214" s="1096"/>
      <c r="N214" s="1096"/>
      <c r="O214" s="1096"/>
      <c r="P214" s="1096"/>
      <c r="Q214" s="1096"/>
      <c r="R214" s="1096"/>
      <c r="S214" s="1096"/>
      <c r="T214" s="1096"/>
      <c r="U214" s="1096"/>
      <c r="V214" s="1096"/>
      <c r="W214" s="1096"/>
      <c r="X214" s="1096"/>
      <c r="Y214" s="1096"/>
      <c r="Z214" s="1096"/>
      <c r="AA214" s="1096"/>
      <c r="AB214" s="1096"/>
      <c r="AC214" s="1096"/>
      <c r="AD214" s="1096"/>
      <c r="AE214" s="1096"/>
      <c r="AF214" s="1096"/>
      <c r="AG214" s="1096"/>
      <c r="AH214" s="1096"/>
      <c r="AI214" s="1096"/>
      <c r="AJ214" s="1096"/>
    </row>
    <row r="215" spans="1:36" x14ac:dyDescent="0.25">
      <c r="A215" s="1096"/>
      <c r="B215" s="1101">
        <f t="shared" ca="1" si="94"/>
        <v>1.1654089671617396</v>
      </c>
      <c r="C215" s="1454">
        <f t="shared" ca="1" si="89"/>
        <v>1.1704351305958522</v>
      </c>
      <c r="D215" s="1096">
        <f t="shared" ca="1" si="88"/>
        <v>125</v>
      </c>
      <c r="E215" s="1457">
        <f t="shared" ca="1" si="90"/>
        <v>1.1654089671617396</v>
      </c>
      <c r="F215" s="1457">
        <f t="shared" ca="1" si="91"/>
        <v>1.1704351305958522</v>
      </c>
      <c r="G215" s="1456">
        <f t="shared" ca="1" si="92"/>
        <v>1.167922048878796</v>
      </c>
      <c r="H215" s="1096">
        <f t="shared" ca="1" si="93"/>
        <v>6.25E-2</v>
      </c>
      <c r="I215" s="1096">
        <f t="shared" ca="1" si="95"/>
        <v>0.87149999999999994</v>
      </c>
      <c r="J215" s="1096"/>
      <c r="K215" s="1096"/>
      <c r="L215" s="1096"/>
      <c r="M215" s="1096"/>
      <c r="N215" s="1096"/>
      <c r="O215" s="1096"/>
      <c r="P215" s="1096"/>
      <c r="Q215" s="1096"/>
      <c r="R215" s="1096"/>
      <c r="S215" s="1096"/>
      <c r="T215" s="1096"/>
      <c r="U215" s="1096"/>
      <c r="V215" s="1096"/>
      <c r="W215" s="1096"/>
      <c r="X215" s="1096"/>
      <c r="Y215" s="1096"/>
      <c r="Z215" s="1096"/>
      <c r="AA215" s="1096"/>
      <c r="AB215" s="1096"/>
      <c r="AC215" s="1096"/>
      <c r="AD215" s="1096"/>
      <c r="AE215" s="1096"/>
      <c r="AF215" s="1096"/>
      <c r="AG215" s="1096"/>
      <c r="AH215" s="1096"/>
      <c r="AI215" s="1096"/>
      <c r="AJ215" s="1096"/>
    </row>
    <row r="216" spans="1:36" x14ac:dyDescent="0.25">
      <c r="A216" s="1096"/>
      <c r="B216" s="1101">
        <f t="shared" ca="1" si="94"/>
        <v>1.1704351305958522</v>
      </c>
      <c r="C216" s="1454">
        <f t="shared" ca="1" si="89"/>
        <v>1.1754612940299649</v>
      </c>
      <c r="D216" s="1096">
        <f t="shared" ca="1" si="88"/>
        <v>98</v>
      </c>
      <c r="E216" s="1457">
        <f t="shared" ca="1" si="90"/>
        <v>1.1704351305958522</v>
      </c>
      <c r="F216" s="1457">
        <f t="shared" ca="1" si="91"/>
        <v>1.1754612940299649</v>
      </c>
      <c r="G216" s="1456">
        <f t="shared" ca="1" si="92"/>
        <v>1.1729482123129085</v>
      </c>
      <c r="H216" s="1096">
        <f t="shared" ca="1" si="93"/>
        <v>4.9000000000000002E-2</v>
      </c>
      <c r="I216" s="1096">
        <f t="shared" ca="1" si="95"/>
        <v>0.92049999999999998</v>
      </c>
      <c r="J216" s="1096"/>
      <c r="K216" s="1096"/>
      <c r="L216" s="1096"/>
      <c r="M216" s="1096"/>
      <c r="N216" s="1096"/>
      <c r="O216" s="1096"/>
      <c r="P216" s="1096"/>
      <c r="Q216" s="1096"/>
      <c r="R216" s="1096"/>
      <c r="S216" s="1096"/>
      <c r="T216" s="1096"/>
      <c r="U216" s="1096"/>
      <c r="V216" s="1096"/>
      <c r="W216" s="1096"/>
      <c r="X216" s="1096"/>
      <c r="Y216" s="1096"/>
      <c r="Z216" s="1096"/>
      <c r="AA216" s="1096"/>
      <c r="AB216" s="1096"/>
      <c r="AC216" s="1096"/>
      <c r="AD216" s="1096"/>
      <c r="AE216" s="1096"/>
      <c r="AF216" s="1096"/>
      <c r="AG216" s="1096"/>
      <c r="AH216" s="1096"/>
      <c r="AI216" s="1096"/>
      <c r="AJ216" s="1096"/>
    </row>
    <row r="217" spans="1:36" x14ac:dyDescent="0.25">
      <c r="A217" s="1096"/>
      <c r="B217" s="1101">
        <f t="shared" ca="1" si="94"/>
        <v>1.1754612940299649</v>
      </c>
      <c r="C217" s="1454">
        <f t="shared" ca="1" si="89"/>
        <v>1.1804874574640776</v>
      </c>
      <c r="D217" s="1096">
        <f t="shared" ca="1" si="88"/>
        <v>72</v>
      </c>
      <c r="E217" s="1457">
        <f t="shared" ca="1" si="90"/>
        <v>1.1754612940299649</v>
      </c>
      <c r="F217" s="1457">
        <f t="shared" ca="1" si="91"/>
        <v>1.1804874574640776</v>
      </c>
      <c r="G217" s="1456">
        <f t="shared" ca="1" si="92"/>
        <v>1.1779743757470214</v>
      </c>
      <c r="H217" s="1096">
        <f t="shared" ca="1" si="93"/>
        <v>3.5999999999999997E-2</v>
      </c>
      <c r="I217" s="1096">
        <f t="shared" ca="1" si="95"/>
        <v>0.95650000000000002</v>
      </c>
      <c r="J217" s="1096"/>
      <c r="K217" s="1096"/>
      <c r="L217" s="1096"/>
      <c r="M217" s="1096"/>
      <c r="N217" s="1096"/>
      <c r="O217" s="1096"/>
      <c r="P217" s="1096"/>
      <c r="Q217" s="1096"/>
      <c r="R217" s="1096"/>
      <c r="S217" s="1096"/>
      <c r="T217" s="1096"/>
      <c r="U217" s="1096"/>
      <c r="V217" s="1096"/>
      <c r="W217" s="1096"/>
      <c r="X217" s="1096"/>
      <c r="Y217" s="1096"/>
      <c r="Z217" s="1096"/>
      <c r="AA217" s="1096"/>
      <c r="AB217" s="1096"/>
      <c r="AC217" s="1096"/>
      <c r="AD217" s="1096"/>
      <c r="AE217" s="1096"/>
      <c r="AF217" s="1096"/>
      <c r="AG217" s="1096"/>
      <c r="AH217" s="1096"/>
      <c r="AI217" s="1096"/>
      <c r="AJ217" s="1096"/>
    </row>
    <row r="218" spans="1:36" x14ac:dyDescent="0.25">
      <c r="A218" s="1096"/>
      <c r="B218" s="1101">
        <f t="shared" ca="1" si="94"/>
        <v>1.1804874574640776</v>
      </c>
      <c r="C218" s="1454">
        <f t="shared" ca="1" si="89"/>
        <v>1.1855136208981902</v>
      </c>
      <c r="D218" s="1096">
        <f t="shared" ca="1" si="88"/>
        <v>45</v>
      </c>
      <c r="E218" s="1457">
        <f t="shared" ca="1" si="90"/>
        <v>1.1804874574640776</v>
      </c>
      <c r="F218" s="1457">
        <f t="shared" ca="1" si="91"/>
        <v>1.1855136208981902</v>
      </c>
      <c r="G218" s="1456">
        <f t="shared" ca="1" si="92"/>
        <v>1.1830005391811338</v>
      </c>
      <c r="H218" s="1096">
        <f t="shared" ca="1" si="93"/>
        <v>2.2499999999999999E-2</v>
      </c>
      <c r="I218" s="1096">
        <f t="shared" ca="1" si="95"/>
        <v>0.97899999999999998</v>
      </c>
      <c r="J218" s="1096"/>
      <c r="K218" s="1096"/>
      <c r="L218" s="1096"/>
      <c r="M218" s="1096"/>
      <c r="N218" s="1096"/>
      <c r="O218" s="1096"/>
      <c r="P218" s="1096"/>
      <c r="Q218" s="1096"/>
      <c r="R218" s="1096"/>
      <c r="S218" s="1096"/>
      <c r="T218" s="1096"/>
      <c r="U218" s="1096"/>
      <c r="V218" s="1096"/>
      <c r="W218" s="1096"/>
      <c r="X218" s="1096"/>
      <c r="Y218" s="1096"/>
      <c r="Z218" s="1096"/>
      <c r="AA218" s="1096"/>
      <c r="AB218" s="1096"/>
      <c r="AC218" s="1096"/>
      <c r="AD218" s="1096"/>
      <c r="AE218" s="1096"/>
      <c r="AF218" s="1096"/>
      <c r="AG218" s="1096"/>
      <c r="AH218" s="1096"/>
      <c r="AI218" s="1096"/>
      <c r="AJ218" s="1096"/>
    </row>
    <row r="219" spans="1:36" x14ac:dyDescent="0.25">
      <c r="A219" s="1096"/>
      <c r="B219" s="1101">
        <f t="shared" ca="1" si="94"/>
        <v>1.1855136208981902</v>
      </c>
      <c r="C219" s="1454">
        <f t="shared" ca="1" si="89"/>
        <v>1.1905397843323029</v>
      </c>
      <c r="D219" s="1096">
        <f t="shared" ca="1" si="88"/>
        <v>23</v>
      </c>
      <c r="E219" s="1457">
        <f t="shared" ca="1" si="90"/>
        <v>1.1855136208981902</v>
      </c>
      <c r="F219" s="1457">
        <f t="shared" ca="1" si="91"/>
        <v>1.1905397843323029</v>
      </c>
      <c r="G219" s="1456">
        <f t="shared" ca="1" si="92"/>
        <v>1.1880267026152467</v>
      </c>
      <c r="H219" s="1096">
        <f t="shared" ca="1" si="93"/>
        <v>1.15E-2</v>
      </c>
      <c r="I219" s="1096">
        <f t="shared" ca="1" si="95"/>
        <v>0.99049999999999994</v>
      </c>
      <c r="J219" s="1096"/>
      <c r="K219" s="1096"/>
      <c r="L219" s="1096"/>
      <c r="M219" s="1096"/>
      <c r="N219" s="1096"/>
      <c r="O219" s="1096"/>
      <c r="P219" s="1096"/>
      <c r="Q219" s="1096"/>
      <c r="R219" s="1096"/>
      <c r="S219" s="1096"/>
      <c r="T219" s="1096"/>
      <c r="U219" s="1096"/>
      <c r="V219" s="1096"/>
      <c r="W219" s="1096"/>
      <c r="X219" s="1096"/>
      <c r="Y219" s="1096"/>
      <c r="Z219" s="1096"/>
      <c r="AA219" s="1096"/>
      <c r="AB219" s="1096"/>
      <c r="AC219" s="1096"/>
      <c r="AD219" s="1096"/>
      <c r="AE219" s="1096"/>
      <c r="AF219" s="1096"/>
      <c r="AG219" s="1096"/>
      <c r="AH219" s="1096"/>
      <c r="AI219" s="1096"/>
      <c r="AJ219" s="1096"/>
    </row>
    <row r="220" spans="1:36" x14ac:dyDescent="0.25">
      <c r="A220" s="1096"/>
      <c r="B220" s="1101">
        <f t="shared" ca="1" si="94"/>
        <v>1.1905397843323029</v>
      </c>
      <c r="C220" s="1454">
        <f t="shared" ca="1" si="89"/>
        <v>1.1955659477664156</v>
      </c>
      <c r="D220" s="1096">
        <f t="shared" ca="1" si="88"/>
        <v>14</v>
      </c>
      <c r="E220" s="1457">
        <f t="shared" ca="1" si="90"/>
        <v>1.1905397843323029</v>
      </c>
      <c r="F220" s="1457">
        <f t="shared" ca="1" si="91"/>
        <v>1.1955659477664156</v>
      </c>
      <c r="G220" s="1456">
        <f t="shared" ca="1" si="92"/>
        <v>1.1930528660493591</v>
      </c>
      <c r="H220" s="1096">
        <f t="shared" ca="1" si="93"/>
        <v>7.0000000000000001E-3</v>
      </c>
      <c r="I220" s="1096">
        <f t="shared" ca="1" si="95"/>
        <v>0.99749999999999994</v>
      </c>
      <c r="J220" s="1096"/>
      <c r="K220" s="1096"/>
      <c r="L220" s="1096"/>
      <c r="M220" s="1096"/>
      <c r="N220" s="1096"/>
      <c r="O220" s="1096"/>
      <c r="P220" s="1096"/>
      <c r="Q220" s="1096"/>
      <c r="R220" s="1096"/>
      <c r="S220" s="1096"/>
      <c r="T220" s="1096"/>
      <c r="U220" s="1096"/>
      <c r="V220" s="1096"/>
      <c r="W220" s="1096"/>
      <c r="X220" s="1096"/>
      <c r="Y220" s="1096"/>
      <c r="Z220" s="1096"/>
      <c r="AA220" s="1096"/>
      <c r="AB220" s="1096"/>
      <c r="AC220" s="1096"/>
      <c r="AD220" s="1096"/>
      <c r="AE220" s="1096"/>
      <c r="AF220" s="1096"/>
      <c r="AG220" s="1096"/>
      <c r="AH220" s="1096"/>
      <c r="AI220" s="1096"/>
      <c r="AJ220" s="1096"/>
    </row>
    <row r="221" spans="1:36" x14ac:dyDescent="0.25">
      <c r="A221" s="1096"/>
      <c r="B221" s="1101">
        <f t="shared" ca="1" si="94"/>
        <v>1.1955659477664156</v>
      </c>
      <c r="C221" s="1454">
        <f ca="1">+B221+($C$197/20)+0.000001</f>
        <v>1.2005931112005281</v>
      </c>
      <c r="D221" s="1096">
        <f t="shared" ca="1" si="88"/>
        <v>5</v>
      </c>
      <c r="E221" s="1457">
        <f t="shared" ca="1" si="90"/>
        <v>1.1955659477664156</v>
      </c>
      <c r="F221" s="1457">
        <f t="shared" ca="1" si="91"/>
        <v>1.2005931112005281</v>
      </c>
      <c r="G221" s="1456">
        <f t="shared" ca="1" si="92"/>
        <v>1.1980795294834719</v>
      </c>
      <c r="H221" s="1096">
        <f t="shared" ca="1" si="93"/>
        <v>2.5000000000000001E-3</v>
      </c>
      <c r="I221" s="1096">
        <f t="shared" ca="1" si="95"/>
        <v>0.99999999999999989</v>
      </c>
      <c r="J221" s="1096"/>
      <c r="K221" s="1096"/>
      <c r="L221" s="1096"/>
      <c r="M221" s="1096"/>
      <c r="N221" s="1096"/>
      <c r="O221" s="1096"/>
      <c r="P221" s="1096"/>
      <c r="Q221" s="1096"/>
      <c r="R221" s="1096"/>
      <c r="S221" s="1096"/>
      <c r="T221" s="1096"/>
      <c r="U221" s="1096"/>
      <c r="V221" s="1096"/>
      <c r="W221" s="1096"/>
      <c r="X221" s="1096"/>
      <c r="Y221" s="1096"/>
      <c r="Z221" s="1096"/>
      <c r="AA221" s="1096"/>
      <c r="AB221" s="1096"/>
      <c r="AC221" s="1096"/>
      <c r="AD221" s="1096"/>
      <c r="AE221" s="1096"/>
      <c r="AF221" s="1096"/>
      <c r="AG221" s="1096"/>
      <c r="AH221" s="1096"/>
      <c r="AI221" s="1096"/>
      <c r="AJ221" s="1096"/>
    </row>
    <row r="222" spans="1:36" x14ac:dyDescent="0.25">
      <c r="A222" s="1096"/>
      <c r="B222" s="1097"/>
      <c r="C222" s="1458"/>
      <c r="D222" s="1096"/>
      <c r="E222" s="1096"/>
      <c r="F222" s="1096">
        <f t="shared" ca="1" si="91"/>
        <v>0</v>
      </c>
      <c r="G222" s="1456">
        <f t="shared" ca="1" si="92"/>
        <v>0</v>
      </c>
      <c r="H222" s="1096"/>
      <c r="I222" s="1096"/>
      <c r="J222" s="1096"/>
      <c r="K222" s="1096"/>
      <c r="L222" s="1096"/>
      <c r="M222" s="1096"/>
      <c r="N222" s="1096"/>
      <c r="O222" s="1096"/>
      <c r="P222" s="1096"/>
      <c r="Q222" s="1096"/>
      <c r="R222" s="1096"/>
      <c r="S222" s="1096"/>
      <c r="T222" s="1096"/>
      <c r="U222" s="1096"/>
      <c r="V222" s="1096"/>
      <c r="W222" s="1096"/>
      <c r="X222" s="1096"/>
      <c r="Y222" s="1096"/>
      <c r="Z222" s="1096"/>
      <c r="AA222" s="1096"/>
      <c r="AB222" s="1096"/>
      <c r="AC222" s="1096"/>
      <c r="AD222" s="1096"/>
      <c r="AE222" s="1096"/>
      <c r="AF222" s="1096"/>
      <c r="AG222" s="1096"/>
      <c r="AH222" s="1096"/>
      <c r="AI222" s="1096"/>
      <c r="AJ222" s="1096"/>
    </row>
    <row r="223" spans="1:36" x14ac:dyDescent="0.25">
      <c r="A223" s="1096"/>
      <c r="B223" s="1097" t="s">
        <v>1310</v>
      </c>
      <c r="C223" s="1096"/>
      <c r="D223" s="1096">
        <f ca="1">+SUM(D202:D221)</f>
        <v>2000</v>
      </c>
      <c r="E223" s="1096"/>
      <c r="F223" s="1096"/>
      <c r="G223" s="1096"/>
      <c r="H223" s="1096"/>
      <c r="I223" s="1096"/>
      <c r="J223" s="1096"/>
      <c r="K223" s="1096"/>
      <c r="L223" s="1096"/>
      <c r="M223" s="1096"/>
      <c r="N223" s="1096"/>
      <c r="O223" s="1096"/>
      <c r="P223" s="1096"/>
      <c r="Q223" s="1096"/>
      <c r="R223" s="1096"/>
      <c r="S223" s="1096"/>
      <c r="T223" s="1096"/>
      <c r="U223" s="1096"/>
      <c r="V223" s="1096"/>
      <c r="W223" s="1096"/>
      <c r="X223" s="1096"/>
      <c r="Y223" s="1096"/>
      <c r="Z223" s="1096"/>
      <c r="AA223" s="1096"/>
      <c r="AB223" s="1096"/>
      <c r="AC223" s="1096"/>
      <c r="AD223" s="1096"/>
      <c r="AE223" s="1096"/>
      <c r="AF223" s="1096"/>
      <c r="AG223" s="1096"/>
      <c r="AH223" s="1096"/>
      <c r="AI223" s="1096"/>
      <c r="AJ223" s="1096"/>
    </row>
    <row r="224" spans="1:36" x14ac:dyDescent="0.25">
      <c r="A224" s="1096"/>
      <c r="B224" s="1096" t="str">
        <f t="array" ref="B224:B238">+TRANSPOSE(Sensitivity_output)</f>
        <v>Cost of hydrogen ($/kg)</v>
      </c>
      <c r="C224" s="1096"/>
      <c r="D224" s="1096"/>
      <c r="E224" s="1096"/>
      <c r="F224" s="1096"/>
      <c r="G224" s="1096"/>
      <c r="H224" s="1096"/>
      <c r="I224" s="1096"/>
      <c r="J224" s="1096"/>
      <c r="K224" s="1096"/>
      <c r="L224" s="1096"/>
      <c r="M224" s="1096"/>
      <c r="N224" s="1096"/>
      <c r="O224" s="1096"/>
      <c r="P224" s="1096"/>
      <c r="Q224" s="1096"/>
      <c r="R224" s="1096"/>
      <c r="S224" s="1096"/>
      <c r="T224" s="1096"/>
      <c r="U224" s="1096"/>
      <c r="V224" s="1096"/>
      <c r="W224" s="1096"/>
      <c r="X224" s="1096"/>
      <c r="Y224" s="1096"/>
      <c r="Z224" s="1096"/>
      <c r="AA224" s="1096"/>
      <c r="AB224" s="1096"/>
      <c r="AC224" s="1096"/>
      <c r="AD224" s="1096"/>
      <c r="AE224" s="1096"/>
      <c r="AF224" s="1096"/>
      <c r="AG224" s="1096"/>
      <c r="AH224" s="1096"/>
      <c r="AI224" s="1096"/>
      <c r="AJ224" s="1096"/>
    </row>
    <row r="225" spans="1:36" x14ac:dyDescent="0.25">
      <c r="A225" s="1096"/>
      <c r="B225" s="1096" t="str">
        <v>Revenue from byproduct sales ($/kg)</v>
      </c>
      <c r="C225" s="1096"/>
      <c r="D225" s="1096"/>
      <c r="E225" s="1096"/>
      <c r="F225" s="1096"/>
      <c r="G225" s="1096"/>
      <c r="H225" s="1096"/>
      <c r="I225" s="1096"/>
      <c r="J225" s="1096"/>
      <c r="K225" s="1096"/>
      <c r="L225" s="1096"/>
      <c r="M225" s="1096"/>
      <c r="N225" s="1096"/>
      <c r="O225" s="1096"/>
      <c r="P225" s="1096"/>
      <c r="Q225" s="1096"/>
      <c r="R225" s="1096"/>
      <c r="S225" s="1096"/>
      <c r="T225" s="1096"/>
      <c r="U225" s="1096"/>
      <c r="V225" s="1096"/>
      <c r="W225" s="1096"/>
      <c r="X225" s="1096"/>
      <c r="Y225" s="1096"/>
      <c r="Z225" s="1096"/>
      <c r="AA225" s="1096"/>
      <c r="AB225" s="1096"/>
      <c r="AC225" s="1096"/>
      <c r="AD225" s="1096"/>
      <c r="AE225" s="1096"/>
      <c r="AF225" s="1096"/>
      <c r="AG225" s="1096"/>
      <c r="AH225" s="1096"/>
      <c r="AI225" s="1096"/>
      <c r="AJ225" s="1096"/>
    </row>
    <row r="226" spans="1:36" x14ac:dyDescent="0.25">
      <c r="A226" s="1096"/>
      <c r="B226" s="1096" t="str">
        <v>Salvage value ($/kg)</v>
      </c>
      <c r="C226" s="1096"/>
      <c r="D226" s="1096"/>
      <c r="E226" s="1096"/>
      <c r="F226" s="1096"/>
      <c r="G226" s="1096"/>
      <c r="H226" s="1096"/>
      <c r="I226" s="1096"/>
      <c r="J226" s="1096"/>
      <c r="K226" s="1096"/>
      <c r="L226" s="1096"/>
      <c r="M226" s="1096"/>
      <c r="N226" s="1096"/>
      <c r="O226" s="1096"/>
      <c r="P226" s="1096"/>
      <c r="Q226" s="1096"/>
      <c r="R226" s="1096"/>
      <c r="S226" s="1096"/>
      <c r="T226" s="1096"/>
      <c r="U226" s="1096"/>
      <c r="V226" s="1096"/>
      <c r="W226" s="1096"/>
      <c r="X226" s="1096"/>
      <c r="Y226" s="1096"/>
      <c r="Z226" s="1096"/>
      <c r="AA226" s="1096"/>
      <c r="AB226" s="1096"/>
      <c r="AC226" s="1096"/>
      <c r="AD226" s="1096"/>
      <c r="AE226" s="1096"/>
      <c r="AF226" s="1096"/>
      <c r="AG226" s="1096"/>
      <c r="AH226" s="1096"/>
      <c r="AI226" s="1096"/>
      <c r="AJ226" s="1096"/>
    </row>
    <row r="227" spans="1:36" x14ac:dyDescent="0.25">
      <c r="A227" s="1096"/>
      <c r="B227" s="1096" t="str">
        <v>Initial equity depreciable capital ($/kg)</v>
      </c>
      <c r="C227" s="1096"/>
      <c r="D227" s="1096"/>
      <c r="E227" s="1096"/>
      <c r="F227" s="1096"/>
      <c r="G227" s="1096"/>
      <c r="H227" s="1096"/>
      <c r="I227" s="1096"/>
      <c r="J227" s="1096"/>
      <c r="K227" s="1096"/>
      <c r="L227" s="1096"/>
      <c r="M227" s="1096"/>
      <c r="N227" s="1096"/>
      <c r="O227" s="1096"/>
      <c r="P227" s="1096"/>
      <c r="Q227" s="1096"/>
      <c r="R227" s="1096"/>
      <c r="S227" s="1096"/>
      <c r="T227" s="1096"/>
      <c r="U227" s="1096"/>
      <c r="V227" s="1096"/>
      <c r="W227" s="1096"/>
      <c r="X227" s="1096"/>
      <c r="Y227" s="1096"/>
      <c r="Z227" s="1096"/>
      <c r="AA227" s="1096"/>
      <c r="AB227" s="1096"/>
      <c r="AC227" s="1096"/>
      <c r="AD227" s="1096"/>
      <c r="AE227" s="1096"/>
      <c r="AF227" s="1096"/>
      <c r="AG227" s="1096"/>
      <c r="AH227" s="1096"/>
      <c r="AI227" s="1096"/>
      <c r="AJ227" s="1096"/>
    </row>
    <row r="228" spans="1:36" x14ac:dyDescent="0.25">
      <c r="A228" s="1096"/>
      <c r="B228" s="1096" t="str">
        <v>Yearly replacement costs ($/kg)</v>
      </c>
      <c r="C228" s="1096"/>
      <c r="D228" s="1096"/>
      <c r="E228" s="1096"/>
      <c r="F228" s="1096"/>
      <c r="G228" s="1096"/>
      <c r="H228" s="1096"/>
      <c r="I228" s="1096"/>
      <c r="J228" s="1096"/>
      <c r="K228" s="1096"/>
      <c r="L228" s="1096"/>
      <c r="M228" s="1096"/>
      <c r="N228" s="1096"/>
      <c r="O228" s="1096"/>
      <c r="P228" s="1096"/>
      <c r="Q228" s="1096"/>
      <c r="R228" s="1096"/>
      <c r="S228" s="1096"/>
      <c r="T228" s="1096"/>
      <c r="U228" s="1096"/>
      <c r="V228" s="1096"/>
      <c r="W228" s="1096"/>
      <c r="X228" s="1096"/>
      <c r="Y228" s="1096"/>
      <c r="Z228" s="1096"/>
      <c r="AA228" s="1096"/>
      <c r="AB228" s="1096"/>
      <c r="AC228" s="1096"/>
      <c r="AD228" s="1096"/>
      <c r="AE228" s="1096"/>
      <c r="AF228" s="1096"/>
      <c r="AG228" s="1096"/>
      <c r="AH228" s="1096"/>
      <c r="AI228" s="1096"/>
      <c r="AJ228" s="1096"/>
    </row>
    <row r="229" spans="1:36" x14ac:dyDescent="0.25">
      <c r="A229" s="1096"/>
      <c r="B229" s="1096" t="str">
        <v>Cash from working capital reserve ($/kg)</v>
      </c>
      <c r="C229" s="1096"/>
      <c r="D229" s="1096"/>
      <c r="E229" s="1096"/>
      <c r="F229" s="1096"/>
      <c r="G229" s="1096"/>
      <c r="H229" s="1096"/>
      <c r="I229" s="1096"/>
      <c r="J229" s="1096"/>
      <c r="K229" s="1096"/>
      <c r="L229" s="1096"/>
      <c r="M229" s="1096"/>
      <c r="N229" s="1096"/>
      <c r="O229" s="1096"/>
      <c r="P229" s="1096"/>
      <c r="Q229" s="1096"/>
      <c r="R229" s="1096"/>
      <c r="S229" s="1096"/>
      <c r="T229" s="1096"/>
      <c r="U229" s="1096"/>
      <c r="V229" s="1096"/>
      <c r="W229" s="1096"/>
      <c r="X229" s="1096"/>
      <c r="Y229" s="1096"/>
      <c r="Z229" s="1096"/>
      <c r="AA229" s="1096"/>
      <c r="AB229" s="1096"/>
      <c r="AC229" s="1096"/>
      <c r="AD229" s="1096"/>
      <c r="AE229" s="1096"/>
      <c r="AF229" s="1096"/>
      <c r="AG229" s="1096"/>
      <c r="AH229" s="1096"/>
      <c r="AI229" s="1096"/>
      <c r="AJ229" s="1096"/>
    </row>
    <row r="230" spans="1:36" x14ac:dyDescent="0.25">
      <c r="A230" s="1096"/>
      <c r="B230" s="1096" t="str">
        <v>Other non-depreciable capital costs ($/kg)</v>
      </c>
      <c r="C230" s="1096"/>
      <c r="D230" s="1096"/>
      <c r="E230" s="1096"/>
      <c r="F230" s="1096"/>
      <c r="G230" s="1096"/>
      <c r="H230" s="1096"/>
      <c r="I230" s="1096"/>
      <c r="J230" s="1096"/>
      <c r="K230" s="1096"/>
      <c r="L230" s="1096"/>
      <c r="M230" s="1096"/>
      <c r="N230" s="1096"/>
      <c r="O230" s="1096"/>
      <c r="P230" s="1096"/>
      <c r="Q230" s="1096"/>
      <c r="R230" s="1096"/>
      <c r="S230" s="1096"/>
      <c r="T230" s="1096"/>
      <c r="U230" s="1096"/>
      <c r="V230" s="1096"/>
      <c r="W230" s="1096"/>
      <c r="X230" s="1096"/>
      <c r="Y230" s="1096"/>
      <c r="Z230" s="1096"/>
      <c r="AA230" s="1096"/>
      <c r="AB230" s="1096"/>
      <c r="AC230" s="1096"/>
      <c r="AD230" s="1096"/>
      <c r="AE230" s="1096"/>
      <c r="AF230" s="1096"/>
      <c r="AG230" s="1096"/>
      <c r="AH230" s="1096"/>
      <c r="AI230" s="1096"/>
      <c r="AJ230" s="1096"/>
    </row>
    <row r="231" spans="1:36" x14ac:dyDescent="0.25">
      <c r="A231" s="1096"/>
      <c r="B231" s="1096" t="str">
        <v>Decommissioning costs ($/kg)</v>
      </c>
      <c r="C231" s="1096"/>
      <c r="D231" s="1096"/>
      <c r="E231" s="1096"/>
      <c r="F231" s="1096"/>
      <c r="G231" s="1096"/>
      <c r="H231" s="1096"/>
      <c r="I231" s="1096"/>
      <c r="J231" s="1096"/>
      <c r="K231" s="1096"/>
      <c r="L231" s="1096"/>
      <c r="M231" s="1096"/>
      <c r="N231" s="1096"/>
      <c r="O231" s="1096"/>
      <c r="P231" s="1096"/>
      <c r="Q231" s="1096"/>
      <c r="R231" s="1096"/>
      <c r="S231" s="1096"/>
      <c r="T231" s="1096"/>
      <c r="U231" s="1096"/>
      <c r="V231" s="1096"/>
      <c r="W231" s="1096"/>
      <c r="X231" s="1096"/>
      <c r="Y231" s="1096"/>
      <c r="Z231" s="1096"/>
      <c r="AA231" s="1096"/>
      <c r="AB231" s="1096"/>
      <c r="AC231" s="1096"/>
      <c r="AD231" s="1096"/>
      <c r="AE231" s="1096"/>
      <c r="AF231" s="1096"/>
      <c r="AG231" s="1096"/>
      <c r="AH231" s="1096"/>
      <c r="AI231" s="1096"/>
      <c r="AJ231" s="1096"/>
    </row>
    <row r="232" spans="1:36" x14ac:dyDescent="0.25">
      <c r="A232" s="1096"/>
      <c r="B232" s="1096" t="str">
        <v>Fixed operating cost ($/kg)</v>
      </c>
      <c r="C232" s="1096"/>
      <c r="D232" s="1096"/>
      <c r="E232" s="1096"/>
      <c r="F232" s="1096"/>
      <c r="G232" s="1096"/>
      <c r="H232" s="1096"/>
      <c r="I232" s="1096"/>
      <c r="J232" s="1096"/>
      <c r="K232" s="1096"/>
      <c r="L232" s="1096"/>
      <c r="M232" s="1096"/>
      <c r="N232" s="1096"/>
      <c r="O232" s="1096"/>
      <c r="P232" s="1096"/>
      <c r="Q232" s="1096"/>
      <c r="R232" s="1096"/>
      <c r="S232" s="1096"/>
      <c r="T232" s="1096"/>
      <c r="U232" s="1096"/>
      <c r="V232" s="1096"/>
      <c r="W232" s="1096"/>
      <c r="X232" s="1096"/>
      <c r="Y232" s="1096"/>
      <c r="Z232" s="1096"/>
      <c r="AA232" s="1096"/>
      <c r="AB232" s="1096"/>
      <c r="AC232" s="1096"/>
      <c r="AD232" s="1096"/>
      <c r="AE232" s="1096"/>
      <c r="AF232" s="1096"/>
      <c r="AG232" s="1096"/>
      <c r="AH232" s="1096"/>
      <c r="AI232" s="1096"/>
      <c r="AJ232" s="1096"/>
    </row>
    <row r="233" spans="1:36" x14ac:dyDescent="0.25">
      <c r="A233" s="1096"/>
      <c r="B233" s="1096" t="str">
        <v>Feedstock cost ($/kg)</v>
      </c>
      <c r="C233" s="1096"/>
      <c r="D233" s="1096"/>
      <c r="E233" s="1096"/>
      <c r="F233" s="1096"/>
      <c r="G233" s="1096"/>
      <c r="H233" s="1096"/>
      <c r="I233" s="1096"/>
      <c r="J233" s="1096"/>
      <c r="K233" s="1096"/>
      <c r="L233" s="1096"/>
      <c r="M233" s="1096"/>
      <c r="N233" s="1096"/>
      <c r="O233" s="1096"/>
      <c r="P233" s="1096"/>
      <c r="Q233" s="1096"/>
      <c r="R233" s="1096"/>
      <c r="S233" s="1096"/>
      <c r="T233" s="1096"/>
      <c r="U233" s="1096"/>
      <c r="V233" s="1096"/>
      <c r="W233" s="1096"/>
      <c r="X233" s="1096"/>
      <c r="Y233" s="1096"/>
      <c r="Z233" s="1096"/>
      <c r="AA233" s="1096"/>
      <c r="AB233" s="1096"/>
      <c r="AC233" s="1096"/>
      <c r="AD233" s="1096"/>
      <c r="AE233" s="1096"/>
      <c r="AF233" s="1096"/>
      <c r="AG233" s="1096"/>
      <c r="AH233" s="1096"/>
      <c r="AI233" s="1096"/>
      <c r="AJ233" s="1096"/>
    </row>
    <row r="234" spans="1:36" x14ac:dyDescent="0.25">
      <c r="A234" s="1096"/>
      <c r="B234" s="1096" t="str">
        <v>Other raw material cost ($/kg)</v>
      </c>
      <c r="C234" s="1096"/>
      <c r="D234" s="1096"/>
      <c r="E234" s="1096"/>
      <c r="F234" s="1096"/>
      <c r="G234" s="1096"/>
      <c r="H234" s="1096"/>
      <c r="I234" s="1096"/>
      <c r="J234" s="1096"/>
      <c r="K234" s="1096"/>
      <c r="L234" s="1096"/>
      <c r="M234" s="1096"/>
      <c r="N234" s="1096"/>
      <c r="O234" s="1096"/>
      <c r="P234" s="1096"/>
      <c r="Q234" s="1096"/>
      <c r="R234" s="1096"/>
      <c r="S234" s="1096"/>
      <c r="T234" s="1096"/>
      <c r="U234" s="1096"/>
      <c r="V234" s="1096"/>
      <c r="W234" s="1096"/>
      <c r="X234" s="1096"/>
      <c r="Y234" s="1096"/>
      <c r="Z234" s="1096"/>
      <c r="AA234" s="1096"/>
      <c r="AB234" s="1096"/>
      <c r="AC234" s="1096"/>
      <c r="AD234" s="1096"/>
      <c r="AE234" s="1096"/>
      <c r="AF234" s="1096"/>
      <c r="AG234" s="1096"/>
      <c r="AH234" s="1096"/>
      <c r="AI234" s="1096"/>
      <c r="AJ234" s="1096"/>
    </row>
    <row r="235" spans="1:36" x14ac:dyDescent="0.25">
      <c r="A235" s="1096"/>
      <c r="B235" s="1096" t="str">
        <v>Other variable operating costs ($/kg)</v>
      </c>
      <c r="C235" s="1096"/>
      <c r="D235" s="1096"/>
      <c r="E235" s="1096"/>
      <c r="F235" s="1096"/>
      <c r="G235" s="1096"/>
      <c r="H235" s="1096"/>
      <c r="I235" s="1096"/>
      <c r="J235" s="1096"/>
      <c r="K235" s="1096"/>
      <c r="L235" s="1096"/>
      <c r="M235" s="1096"/>
      <c r="N235" s="1096"/>
      <c r="O235" s="1096"/>
      <c r="P235" s="1096"/>
      <c r="Q235" s="1096"/>
      <c r="R235" s="1096"/>
      <c r="S235" s="1096"/>
      <c r="T235" s="1096"/>
      <c r="U235" s="1096"/>
      <c r="V235" s="1096"/>
      <c r="W235" s="1096"/>
      <c r="X235" s="1096"/>
      <c r="Y235" s="1096"/>
      <c r="Z235" s="1096"/>
      <c r="AA235" s="1096"/>
      <c r="AB235" s="1096"/>
      <c r="AC235" s="1096"/>
      <c r="AD235" s="1096"/>
      <c r="AE235" s="1096"/>
      <c r="AF235" s="1096"/>
      <c r="AG235" s="1096"/>
      <c r="AH235" s="1096"/>
      <c r="AI235" s="1096"/>
      <c r="AJ235" s="1096"/>
    </row>
    <row r="236" spans="1:36" x14ac:dyDescent="0.25">
      <c r="A236" s="1096"/>
      <c r="B236" s="1096" t="str">
        <v>Debt interest ($/kg)</v>
      </c>
      <c r="C236" s="1096"/>
      <c r="D236" s="1096"/>
      <c r="E236" s="1096"/>
      <c r="F236" s="1096"/>
      <c r="G236" s="1096"/>
      <c r="H236" s="1096"/>
      <c r="I236" s="1096"/>
      <c r="J236" s="1096"/>
      <c r="K236" s="1096"/>
      <c r="L236" s="1096"/>
      <c r="M236" s="1096"/>
      <c r="N236" s="1096"/>
      <c r="O236" s="1096"/>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row>
    <row r="237" spans="1:36" x14ac:dyDescent="0.25">
      <c r="A237" s="1096"/>
      <c r="B237" s="1096" t="str">
        <v>Taxes ($/kg)</v>
      </c>
      <c r="C237" s="1096"/>
      <c r="D237" s="1096"/>
      <c r="E237" s="1096"/>
      <c r="F237" s="1096"/>
      <c r="G237" s="1096"/>
      <c r="H237" s="1096"/>
      <c r="I237" s="1096"/>
      <c r="J237" s="1096"/>
      <c r="K237" s="1096"/>
      <c r="L237" s="1096"/>
      <c r="M237" s="1096"/>
      <c r="N237" s="1096"/>
      <c r="O237" s="1096"/>
      <c r="P237" s="1096"/>
      <c r="Q237" s="1096"/>
      <c r="R237" s="1096"/>
      <c r="S237" s="1096"/>
      <c r="T237" s="1096"/>
      <c r="U237" s="1096"/>
      <c r="V237" s="1096"/>
      <c r="W237" s="1096"/>
      <c r="X237" s="1096"/>
      <c r="Y237" s="1096"/>
      <c r="Z237" s="1096"/>
      <c r="AA237" s="1096"/>
      <c r="AB237" s="1096"/>
      <c r="AC237" s="1096"/>
      <c r="AD237" s="1096"/>
      <c r="AE237" s="1096"/>
      <c r="AF237" s="1096"/>
      <c r="AG237" s="1096"/>
      <c r="AH237" s="1096"/>
      <c r="AI237" s="1096"/>
      <c r="AJ237" s="1096"/>
    </row>
    <row r="238" spans="1:36" x14ac:dyDescent="0.25">
      <c r="A238" s="1096"/>
      <c r="B238" s="1096" t="str">
        <v>Principal payment ($/kg)</v>
      </c>
      <c r="C238" s="1096"/>
      <c r="D238" s="1096"/>
      <c r="E238" s="1096"/>
      <c r="F238" s="1096"/>
      <c r="G238" s="1096"/>
      <c r="H238" s="1096"/>
      <c r="I238" s="1096"/>
      <c r="J238" s="1096"/>
      <c r="K238" s="1096"/>
      <c r="L238" s="1096"/>
      <c r="M238" s="1096"/>
      <c r="N238" s="1096"/>
      <c r="O238" s="1096"/>
      <c r="P238" s="1096"/>
      <c r="Q238" s="1096"/>
      <c r="R238" s="1096"/>
      <c r="S238" s="1096"/>
      <c r="T238" s="1096"/>
      <c r="U238" s="1096"/>
      <c r="V238" s="1096"/>
      <c r="W238" s="1096"/>
      <c r="X238" s="1096"/>
      <c r="Y238" s="1096"/>
      <c r="Z238" s="1096"/>
      <c r="AA238" s="1096"/>
      <c r="AB238" s="1096"/>
      <c r="AC238" s="1096"/>
      <c r="AD238" s="1096"/>
      <c r="AE238" s="1096"/>
      <c r="AF238" s="1096"/>
      <c r="AG238" s="1096"/>
      <c r="AH238" s="1096"/>
      <c r="AI238" s="1096"/>
      <c r="AJ238" s="1096"/>
    </row>
    <row r="239" spans="1:36" x14ac:dyDescent="0.25">
      <c r="A239" s="1096"/>
      <c r="B239" s="1096" t="str">
        <f t="array" ref="B239:B245">+TRANSPOSE(C50:I50)</f>
        <v>Operating capacity factor</v>
      </c>
      <c r="C239" s="1096"/>
      <c r="D239" s="1096"/>
      <c r="E239" s="1096"/>
      <c r="F239" s="1096"/>
      <c r="G239" s="1096"/>
      <c r="H239" s="1096"/>
      <c r="I239" s="1096"/>
      <c r="J239" s="1096"/>
      <c r="K239" s="1096"/>
      <c r="L239" s="1096"/>
      <c r="M239" s="1096"/>
      <c r="N239" s="1096"/>
      <c r="O239" s="1096"/>
      <c r="P239" s="1096"/>
      <c r="Q239" s="1096"/>
      <c r="R239" s="1096"/>
      <c r="S239" s="1096"/>
      <c r="T239" s="1096"/>
      <c r="U239" s="1096"/>
      <c r="V239" s="1096"/>
      <c r="W239" s="1096"/>
      <c r="X239" s="1096"/>
      <c r="Y239" s="1096"/>
      <c r="Z239" s="1096"/>
      <c r="AA239" s="1096"/>
      <c r="AB239" s="1096"/>
      <c r="AC239" s="1096"/>
      <c r="AD239" s="1096"/>
      <c r="AE239" s="1096"/>
      <c r="AF239" s="1096"/>
      <c r="AG239" s="1096"/>
      <c r="AH239" s="1096"/>
      <c r="AI239" s="1096"/>
      <c r="AJ239" s="1096"/>
    </row>
    <row r="240" spans="1:36" x14ac:dyDescent="0.25">
      <c r="A240" s="1096"/>
      <c r="B240" s="1096" t="str">
        <v>Plant design capacity (kg of H2/day)</v>
      </c>
      <c r="C240" s="1096"/>
      <c r="D240" s="1096"/>
      <c r="E240" s="1096"/>
      <c r="F240" s="1096"/>
      <c r="G240" s="1096"/>
      <c r="H240" s="1096"/>
      <c r="I240" s="1096"/>
      <c r="J240" s="1096"/>
      <c r="K240" s="1096"/>
      <c r="L240" s="1096"/>
      <c r="M240" s="1096"/>
      <c r="N240" s="1096"/>
      <c r="O240" s="1096"/>
      <c r="P240" s="1096"/>
      <c r="Q240" s="1096"/>
      <c r="R240" s="1096"/>
      <c r="S240" s="1096"/>
      <c r="T240" s="1096"/>
      <c r="U240" s="1096"/>
      <c r="V240" s="1096"/>
      <c r="W240" s="1096"/>
      <c r="X240" s="1096"/>
      <c r="Y240" s="1096"/>
      <c r="Z240" s="1096"/>
      <c r="AA240" s="1096"/>
      <c r="AB240" s="1096"/>
      <c r="AC240" s="1096"/>
      <c r="AD240" s="1096"/>
      <c r="AE240" s="1096"/>
      <c r="AF240" s="1096"/>
      <c r="AG240" s="1096"/>
      <c r="AH240" s="1096"/>
      <c r="AI240" s="1096"/>
      <c r="AJ240" s="1096"/>
    </row>
    <row r="241" spans="1:36" x14ac:dyDescent="0.25">
      <c r="A241" s="1096"/>
      <c r="B241" s="1096" t="str">
        <v>After-tax real IRR (%)</v>
      </c>
      <c r="C241" s="1096"/>
      <c r="D241" s="1096"/>
      <c r="E241" s="1096"/>
      <c r="F241" s="1096"/>
      <c r="G241" s="1096"/>
      <c r="H241" s="1096"/>
      <c r="I241" s="1096"/>
      <c r="J241" s="1096"/>
      <c r="K241" s="1096"/>
      <c r="L241" s="1096"/>
      <c r="M241" s="1096"/>
      <c r="N241" s="1096"/>
      <c r="O241" s="1096"/>
      <c r="P241" s="1096"/>
      <c r="Q241" s="1096"/>
      <c r="R241" s="1096"/>
      <c r="S241" s="1096"/>
      <c r="T241" s="1096"/>
      <c r="U241" s="1096"/>
      <c r="V241" s="1096"/>
      <c r="W241" s="1096"/>
      <c r="X241" s="1096"/>
      <c r="Y241" s="1096"/>
      <c r="Z241" s="1096"/>
      <c r="AA241" s="1096"/>
      <c r="AB241" s="1096"/>
      <c r="AC241" s="1096"/>
      <c r="AD241" s="1096"/>
      <c r="AE241" s="1096"/>
      <c r="AF241" s="1096"/>
      <c r="AG241" s="1096"/>
      <c r="AH241" s="1096"/>
      <c r="AI241" s="1096"/>
      <c r="AJ241" s="1096"/>
    </row>
    <row r="242" spans="1:36" x14ac:dyDescent="0.25">
      <c r="A242" s="1096"/>
      <c r="B242" s="1096" t="str">
        <v>Feedstock consumption (% of most likely value)</v>
      </c>
      <c r="C242" s="1096"/>
      <c r="D242" s="1096"/>
      <c r="E242" s="1096"/>
      <c r="F242" s="1096"/>
      <c r="G242" s="1096"/>
      <c r="H242" s="1096"/>
      <c r="I242" s="1096"/>
      <c r="J242" s="1096"/>
      <c r="K242" s="1096"/>
      <c r="L242" s="1096"/>
      <c r="M242" s="1096"/>
      <c r="N242" s="1096"/>
      <c r="O242" s="1096"/>
      <c r="P242" s="1096"/>
      <c r="Q242" s="1096"/>
      <c r="R242" s="1096"/>
      <c r="S242" s="1096"/>
      <c r="T242" s="1096"/>
      <c r="U242" s="1096"/>
      <c r="V242" s="1096"/>
      <c r="W242" s="1096"/>
      <c r="X242" s="1096"/>
      <c r="Y242" s="1096"/>
      <c r="Z242" s="1096"/>
      <c r="AA242" s="1096"/>
      <c r="AB242" s="1096"/>
      <c r="AC242" s="1096"/>
      <c r="AD242" s="1096"/>
      <c r="AE242" s="1096"/>
      <c r="AF242" s="1096"/>
      <c r="AG242" s="1096"/>
      <c r="AH242" s="1096"/>
      <c r="AI242" s="1096"/>
      <c r="AJ242" s="1096"/>
    </row>
    <row r="243" spans="1:36" x14ac:dyDescent="0.25">
      <c r="A243" s="1096"/>
      <c r="B243" s="1096" t="str">
        <v>Utilities consumption (% of most likely value)</v>
      </c>
      <c r="C243" s="1096"/>
      <c r="D243" s="1096"/>
      <c r="E243" s="1096"/>
      <c r="F243" s="1096"/>
      <c r="G243" s="1096"/>
      <c r="H243" s="1096"/>
      <c r="I243" s="1096"/>
      <c r="J243" s="1096"/>
      <c r="K243" s="1096"/>
      <c r="L243" s="1096"/>
      <c r="M243" s="1096"/>
      <c r="N243" s="1096"/>
      <c r="O243" s="1096"/>
      <c r="P243" s="1096"/>
      <c r="Q243" s="1096"/>
      <c r="R243" s="1096"/>
      <c r="S243" s="1096"/>
      <c r="T243" s="1096"/>
      <c r="U243" s="1096"/>
      <c r="V243" s="1096"/>
      <c r="W243" s="1096"/>
      <c r="X243" s="1096"/>
      <c r="Y243" s="1096"/>
      <c r="Z243" s="1096"/>
      <c r="AA243" s="1096"/>
      <c r="AB243" s="1096"/>
      <c r="AC243" s="1096"/>
      <c r="AD243" s="1096"/>
      <c r="AE243" s="1096"/>
      <c r="AF243" s="1096"/>
      <c r="AG243" s="1096"/>
      <c r="AH243" s="1096"/>
      <c r="AI243" s="1096"/>
      <c r="AJ243" s="1096"/>
    </row>
    <row r="244" spans="1:36" x14ac:dyDescent="0.25">
      <c r="A244" s="1096"/>
      <c r="B244" s="1096" t="str">
        <v>Total capital investment ($)</v>
      </c>
      <c r="C244" s="1096"/>
      <c r="D244" s="1096"/>
      <c r="E244" s="1096"/>
      <c r="F244" s="1096"/>
      <c r="G244" s="1096"/>
      <c r="H244" s="1096"/>
      <c r="I244" s="1096"/>
      <c r="J244" s="1096"/>
      <c r="K244" s="1096"/>
      <c r="L244" s="1096"/>
      <c r="M244" s="1096"/>
      <c r="N244" s="1096"/>
      <c r="O244" s="1096"/>
      <c r="P244" s="1096"/>
      <c r="Q244" s="1096"/>
      <c r="R244" s="1096"/>
      <c r="S244" s="1096"/>
      <c r="T244" s="1096"/>
      <c r="U244" s="1096"/>
      <c r="V244" s="1096"/>
      <c r="W244" s="1096"/>
      <c r="X244" s="1096"/>
      <c r="Y244" s="1096"/>
      <c r="Z244" s="1096"/>
      <c r="AA244" s="1096"/>
      <c r="AB244" s="1096"/>
      <c r="AC244" s="1096"/>
      <c r="AD244" s="1096"/>
      <c r="AE244" s="1096"/>
      <c r="AF244" s="1096"/>
      <c r="AG244" s="1096"/>
      <c r="AH244" s="1096"/>
      <c r="AI244" s="1096"/>
      <c r="AJ244" s="1096"/>
    </row>
    <row r="245" spans="1:36" x14ac:dyDescent="0.25">
      <c r="A245" s="1096"/>
      <c r="B245" s="1096" t="str">
        <v>Total fixed operating cost ($/year)</v>
      </c>
      <c r="C245" s="1096"/>
      <c r="D245" s="1096"/>
      <c r="E245" s="1096"/>
      <c r="F245" s="1096"/>
      <c r="G245" s="1096"/>
      <c r="H245" s="1096"/>
      <c r="I245" s="1096"/>
      <c r="J245" s="1096"/>
      <c r="K245" s="1096"/>
      <c r="L245" s="1096"/>
      <c r="M245" s="1096"/>
      <c r="N245" s="1096"/>
      <c r="O245" s="1096"/>
      <c r="P245" s="1096"/>
      <c r="Q245" s="1096"/>
      <c r="R245" s="1096"/>
      <c r="S245" s="1096"/>
      <c r="T245" s="1096"/>
      <c r="U245" s="1096"/>
      <c r="V245" s="1096"/>
      <c r="W245" s="1096"/>
      <c r="X245" s="1096"/>
      <c r="Y245" s="1096"/>
      <c r="Z245" s="1096"/>
      <c r="AA245" s="1096"/>
      <c r="AB245" s="1096"/>
      <c r="AC245" s="1096"/>
      <c r="AD245" s="1096"/>
      <c r="AE245" s="1096"/>
      <c r="AF245" s="1096"/>
      <c r="AG245" s="1096"/>
      <c r="AH245" s="1096"/>
      <c r="AI245" s="1096"/>
      <c r="AJ245" s="1096"/>
    </row>
    <row r="246" spans="1:36" x14ac:dyDescent="0.25">
      <c r="A246" s="1096"/>
      <c r="B246" s="1096"/>
      <c r="C246" s="1096"/>
      <c r="D246" s="1096"/>
      <c r="E246" s="1096"/>
      <c r="F246" s="1096"/>
      <c r="G246" s="1096"/>
      <c r="H246" s="1096"/>
      <c r="I246" s="1096"/>
      <c r="J246" s="1096"/>
      <c r="K246" s="1096"/>
      <c r="L246" s="1096"/>
      <c r="M246" s="1096"/>
      <c r="N246" s="1096"/>
      <c r="O246" s="1096"/>
      <c r="P246" s="1096"/>
      <c r="Q246" s="1096"/>
      <c r="R246" s="1096"/>
      <c r="S246" s="1096"/>
      <c r="T246" s="1096"/>
      <c r="U246" s="1096"/>
      <c r="V246" s="1096"/>
      <c r="W246" s="1096"/>
      <c r="X246" s="1096"/>
      <c r="Y246" s="1096"/>
      <c r="Z246" s="1096"/>
      <c r="AA246" s="1096"/>
      <c r="AB246" s="1096"/>
      <c r="AC246" s="1096"/>
      <c r="AD246" s="1096"/>
      <c r="AE246" s="1096"/>
      <c r="AF246" s="1096"/>
      <c r="AG246" s="1096"/>
      <c r="AH246" s="1096"/>
      <c r="AI246" s="1096"/>
      <c r="AJ246" s="1096"/>
    </row>
    <row r="247" spans="1:36" x14ac:dyDescent="0.25">
      <c r="A247" s="1096"/>
      <c r="B247" s="1096"/>
      <c r="C247" s="1096"/>
      <c r="D247" s="1096"/>
      <c r="E247" s="1096"/>
      <c r="F247" s="1096"/>
      <c r="G247" s="1096"/>
      <c r="H247" s="1096"/>
      <c r="I247" s="1096"/>
      <c r="J247" s="1096"/>
      <c r="K247" s="1096"/>
      <c r="L247" s="1096"/>
      <c r="M247" s="1096"/>
      <c r="N247" s="1096"/>
      <c r="O247" s="1096"/>
      <c r="P247" s="1096"/>
      <c r="Q247" s="1096"/>
      <c r="R247" s="1096"/>
      <c r="S247" s="1096"/>
      <c r="T247" s="1096"/>
      <c r="U247" s="1096"/>
      <c r="V247" s="1096"/>
      <c r="W247" s="1096"/>
      <c r="X247" s="1096"/>
      <c r="Y247" s="1096"/>
      <c r="Z247" s="1096"/>
      <c r="AA247" s="1096"/>
      <c r="AB247" s="1096"/>
      <c r="AC247" s="1096"/>
      <c r="AD247" s="1096"/>
      <c r="AE247" s="1096"/>
      <c r="AF247" s="1096"/>
      <c r="AG247" s="1096"/>
      <c r="AH247" s="1096"/>
      <c r="AI247" s="1096"/>
      <c r="AJ247" s="1096"/>
    </row>
    <row r="248" spans="1:36" x14ac:dyDescent="0.25">
      <c r="A248" s="1096"/>
      <c r="B248" s="1097"/>
      <c r="C248">
        <f ca="1">+RAND()</f>
        <v>0.996992187732056</v>
      </c>
      <c r="D248">
        <f t="shared" ref="D248:I248" ca="1" si="96">+RAND()</f>
        <v>0.14771088046072511</v>
      </c>
      <c r="E248">
        <f t="shared" ca="1" si="96"/>
        <v>0.85181232294863429</v>
      </c>
      <c r="F248">
        <f t="shared" ca="1" si="96"/>
        <v>0.4736051550442899</v>
      </c>
      <c r="G248">
        <f t="shared" ca="1" si="96"/>
        <v>0.58448901443399759</v>
      </c>
      <c r="H248">
        <f t="shared" ca="1" si="96"/>
        <v>4.1698792448968347E-2</v>
      </c>
      <c r="I248">
        <f t="shared" ca="1" si="96"/>
        <v>0.88617146637191246</v>
      </c>
      <c r="J248" s="1096"/>
      <c r="K248" s="1096"/>
      <c r="L248" s="1096"/>
      <c r="M248" s="1096"/>
      <c r="N248" s="1096"/>
      <c r="O248" s="1096"/>
      <c r="P248" s="1096"/>
      <c r="Q248" s="1096"/>
      <c r="R248" s="1096"/>
      <c r="S248" s="1096"/>
      <c r="T248" s="1096"/>
      <c r="U248" s="1096"/>
      <c r="V248" s="1096"/>
      <c r="W248" s="1096"/>
      <c r="X248" s="1096"/>
      <c r="Y248" s="1096"/>
      <c r="Z248" s="1096"/>
      <c r="AA248" s="1096"/>
      <c r="AB248" s="1096"/>
      <c r="AC248" s="1096"/>
      <c r="AD248" s="1096"/>
      <c r="AE248" s="1096"/>
      <c r="AF248" s="1096"/>
      <c r="AG248" s="1096"/>
      <c r="AH248" s="1096"/>
      <c r="AI248" s="1096"/>
      <c r="AJ248" s="1096"/>
    </row>
    <row r="249" spans="1:36" x14ac:dyDescent="0.25">
      <c r="A249" s="1096"/>
      <c r="B249" s="305"/>
      <c r="C249" s="1101">
        <f ca="1">IFERROR(IF(C$248&lt;=(C$190-C$189)/(C$191-C$189),C$189+SQRT(C$248*(C$191-C$189)*(C$190-C$189)),C$191-SQRT((1-C$248)*(C$191-C$189)*(C$191-C$190))),1)</f>
        <v>1.0461219771352248</v>
      </c>
      <c r="D249" s="1101">
        <f t="shared" ref="D249:I249" ca="1" si="97">IFERROR(IF(D$248&lt;=(D$190-D$189)/(D$191-D$189),D$189+SQRT(D$248*(D$191-D$189)*(D$190-D$189)),D$191-SQRT((1-D$248)*(D$191-D$189)*(D$191-D$190))),1)</f>
        <v>0.97717635741418674</v>
      </c>
      <c r="E249" s="1101">
        <f t="shared" ca="1" si="97"/>
        <v>1.0227798165829687</v>
      </c>
      <c r="F249" s="1101">
        <f t="shared" ca="1" si="97"/>
        <v>0.99866236508043404</v>
      </c>
      <c r="G249" s="1101">
        <f t="shared" ca="1" si="97"/>
        <v>1.0044197967552797</v>
      </c>
      <c r="H249" s="1101">
        <f t="shared" ca="1" si="97"/>
        <v>0.96443932000631749</v>
      </c>
      <c r="I249" s="1101">
        <f t="shared" ca="1" si="97"/>
        <v>1.0261432888238877</v>
      </c>
    </row>
    <row r="250" spans="1:36" x14ac:dyDescent="0.25">
      <c r="A250" s="1096"/>
      <c r="B250" s="305"/>
    </row>
    <row r="251" spans="1:36" x14ac:dyDescent="0.25">
      <c r="A251" s="1096"/>
      <c r="B251" s="1455">
        <v>1</v>
      </c>
      <c r="C251" s="1101">
        <v>0.99398753068525181</v>
      </c>
      <c r="D251" s="1101">
        <v>1.0013759165640637</v>
      </c>
      <c r="E251" s="1101">
        <v>0.9918609979413735</v>
      </c>
      <c r="F251" s="1101">
        <v>0.97269889949151234</v>
      </c>
      <c r="G251" s="1101">
        <v>0.99534430596669177</v>
      </c>
      <c r="H251" s="1101">
        <v>0.98893988041736081</v>
      </c>
      <c r="I251" s="1101">
        <v>0.9942296221220126</v>
      </c>
      <c r="K251">
        <v>1.1237816563084932</v>
      </c>
      <c r="L251">
        <v>0</v>
      </c>
      <c r="M251">
        <v>8.0981402056290886E-4</v>
      </c>
      <c r="N251">
        <v>7.2708053587915461E-2</v>
      </c>
      <c r="O251">
        <v>1.0403460549503878E-2</v>
      </c>
      <c r="P251">
        <v>1.3143703486053142E-2</v>
      </c>
      <c r="Q251">
        <v>4.4806237307234775E-4</v>
      </c>
      <c r="R251">
        <v>8.0800042276970392E-4</v>
      </c>
      <c r="S251">
        <v>7.2372536043098776E-2</v>
      </c>
      <c r="T251">
        <v>0.80556301869908575</v>
      </c>
      <c r="U251">
        <v>0</v>
      </c>
      <c r="V251">
        <v>9.2045297587566063E-2</v>
      </c>
      <c r="W251">
        <v>4.7996609954987175E-2</v>
      </c>
      <c r="X251">
        <v>6.9036168314926235E-3</v>
      </c>
      <c r="Y251">
        <v>2.1991107935113528E-3</v>
      </c>
    </row>
    <row r="252" spans="1:36" x14ac:dyDescent="0.25">
      <c r="A252" s="1096"/>
      <c r="B252" s="1455">
        <v>2</v>
      </c>
      <c r="C252" s="1101">
        <v>1.0000907480499885</v>
      </c>
      <c r="D252" s="1101">
        <v>0.97775305781485355</v>
      </c>
      <c r="E252" s="1101">
        <v>0.96758795068380299</v>
      </c>
      <c r="F252" s="1101">
        <v>0.96456200112752966</v>
      </c>
      <c r="G252" s="1101">
        <v>0.99728524812412889</v>
      </c>
      <c r="H252" s="1101">
        <v>0.97173865722550479</v>
      </c>
      <c r="I252" s="1101">
        <v>0.96480935295959247</v>
      </c>
      <c r="K252">
        <v>1.1116757616221027</v>
      </c>
      <c r="L252">
        <v>0</v>
      </c>
      <c r="M252">
        <v>8.395574017381408E-4</v>
      </c>
      <c r="N252">
        <v>7.0038084528838335E-2</v>
      </c>
      <c r="O252">
        <v>1.0431194126987101E-2</v>
      </c>
      <c r="P252">
        <v>1.2801298511946647E-2</v>
      </c>
      <c r="Q252">
        <v>4.3830699683543794E-4</v>
      </c>
      <c r="R252">
        <v>8.376439104347365E-4</v>
      </c>
      <c r="S252">
        <v>6.9956275701089171E-2</v>
      </c>
      <c r="T252">
        <v>0.80038966342179829</v>
      </c>
      <c r="U252">
        <v>0</v>
      </c>
      <c r="V252">
        <v>9.1972878668194327E-2</v>
      </c>
      <c r="W252">
        <v>4.691687885789602E-2</v>
      </c>
      <c r="X252">
        <v>6.4533037048586893E-3</v>
      </c>
      <c r="Y252">
        <v>2.2797905949624897E-3</v>
      </c>
    </row>
    <row r="253" spans="1:36" x14ac:dyDescent="0.25">
      <c r="A253" s="1096"/>
      <c r="B253" s="1455">
        <v>3</v>
      </c>
      <c r="C253" s="1101">
        <v>0.98419751166184588</v>
      </c>
      <c r="D253" s="1101">
        <v>1.0060939705893477</v>
      </c>
      <c r="E253" s="1101">
        <v>1.0039741711445389</v>
      </c>
      <c r="F253" s="1101">
        <v>0.97907644006005545</v>
      </c>
      <c r="G253" s="1101">
        <v>1.0283067001574178</v>
      </c>
      <c r="H253" s="1101">
        <v>1.0230561587039413</v>
      </c>
      <c r="I253" s="1101">
        <v>0.9850625259907908</v>
      </c>
      <c r="K253">
        <v>1.1381205484896952</v>
      </c>
      <c r="L253">
        <v>0</v>
      </c>
      <c r="M253">
        <v>8.2354675494589072E-4</v>
      </c>
      <c r="N253">
        <v>7.6703306495207096E-2</v>
      </c>
      <c r="O253">
        <v>1.0491226525576018E-2</v>
      </c>
      <c r="P253">
        <v>1.3364936848717458E-2</v>
      </c>
      <c r="Q253">
        <v>4.5738399074153163E-4</v>
      </c>
      <c r="R253">
        <v>8.2176390675769593E-4</v>
      </c>
      <c r="S253">
        <v>7.3643787810732872E-2</v>
      </c>
      <c r="T253">
        <v>0.81005875624661139</v>
      </c>
      <c r="U253">
        <v>0</v>
      </c>
      <c r="V253">
        <v>9.3704344855196992E-2</v>
      </c>
      <c r="W253">
        <v>5.0270164653274767E-2</v>
      </c>
      <c r="X253">
        <v>7.1918534520292021E-3</v>
      </c>
      <c r="Y253">
        <v>2.2365704597953895E-3</v>
      </c>
    </row>
    <row r="254" spans="1:36" x14ac:dyDescent="0.25">
      <c r="A254" s="1096"/>
      <c r="B254" s="1455">
        <v>4</v>
      </c>
      <c r="C254" s="1101">
        <v>0.99582630035353037</v>
      </c>
      <c r="D254" s="1101">
        <v>1.0342167316319602</v>
      </c>
      <c r="E254" s="1101">
        <v>0.97655473429914419</v>
      </c>
      <c r="F254" s="1101">
        <v>1.0220019411495187</v>
      </c>
      <c r="G254" s="1101">
        <v>0.98231970263558854</v>
      </c>
      <c r="H254" s="1101">
        <v>1.0082102486496172</v>
      </c>
      <c r="I254" s="1101">
        <v>0.95826187455602041</v>
      </c>
      <c r="K254">
        <v>1.161273323716731</v>
      </c>
      <c r="L254">
        <v>0</v>
      </c>
      <c r="M254">
        <v>8.3967789538210759E-4</v>
      </c>
      <c r="N254">
        <v>7.1981675123648572E-2</v>
      </c>
      <c r="O254">
        <v>1.0246123846409303E-2</v>
      </c>
      <c r="P254">
        <v>1.350241689153964E-2</v>
      </c>
      <c r="Q254">
        <v>4.3448979792169381E-4</v>
      </c>
      <c r="R254">
        <v>8.3783335914960585E-4</v>
      </c>
      <c r="S254">
        <v>6.9208372311420338E-2</v>
      </c>
      <c r="T254">
        <v>0.84743810873144343</v>
      </c>
      <c r="U254">
        <v>0</v>
      </c>
      <c r="V254">
        <v>9.1440056658547098E-2</v>
      </c>
      <c r="W254">
        <v>4.7956837535617795E-2</v>
      </c>
      <c r="X254">
        <v>6.786781144502158E-3</v>
      </c>
      <c r="Y254">
        <v>2.2803062119126113E-3</v>
      </c>
    </row>
    <row r="255" spans="1:36" x14ac:dyDescent="0.25">
      <c r="A255" s="1096"/>
      <c r="B255" s="1455">
        <v>5</v>
      </c>
      <c r="C255" s="1101">
        <v>0.99037536209660737</v>
      </c>
      <c r="D255" s="1101">
        <v>0.99624494416369569</v>
      </c>
      <c r="E255" s="1101">
        <v>1.0231932788080385</v>
      </c>
      <c r="F255" s="1101">
        <v>1.0002803292958291</v>
      </c>
      <c r="G255" s="1101">
        <v>0.99475088479084683</v>
      </c>
      <c r="H255" s="1101">
        <v>1.0112851799645703</v>
      </c>
      <c r="I255" s="1101">
        <v>1.0427108326555752</v>
      </c>
      <c r="K255">
        <v>1.1572510026151164</v>
      </c>
      <c r="L255">
        <v>0</v>
      </c>
      <c r="M255">
        <v>7.8037613005835422E-4</v>
      </c>
      <c r="N255">
        <v>7.7021334922556209E-2</v>
      </c>
      <c r="O255">
        <v>1.0473264517894666E-2</v>
      </c>
      <c r="P255">
        <v>1.3811334349300599E-2</v>
      </c>
      <c r="Q255">
        <v>4.654404066828814E-4</v>
      </c>
      <c r="R255">
        <v>7.7866707555943732E-4</v>
      </c>
      <c r="S255">
        <v>7.7377450012272087E-2</v>
      </c>
      <c r="T255">
        <v>0.82633793270567957</v>
      </c>
      <c r="U255">
        <v>0</v>
      </c>
      <c r="V255">
        <v>9.2115941754789835E-2</v>
      </c>
      <c r="W255">
        <v>4.9911336189805908E-2</v>
      </c>
      <c r="X255">
        <v>7.6194017184924977E-3</v>
      </c>
      <c r="Y255">
        <v>2.119275092140317E-3</v>
      </c>
    </row>
    <row r="256" spans="1:36" x14ac:dyDescent="0.25">
      <c r="A256" s="1096"/>
      <c r="B256" s="1455">
        <v>6</v>
      </c>
      <c r="C256" s="1101">
        <v>0.99594953143599962</v>
      </c>
      <c r="D256" s="1101">
        <v>0.99668947561132426</v>
      </c>
      <c r="E256" s="1101">
        <v>1.0021456414111309</v>
      </c>
      <c r="F256" s="1101">
        <v>0.98243587757162687</v>
      </c>
      <c r="G256" s="1101">
        <v>1.0112781495585279</v>
      </c>
      <c r="H256" s="1101">
        <v>0.99788448126383367</v>
      </c>
      <c r="I256" s="1101">
        <v>0.97394093665693349</v>
      </c>
      <c r="K256">
        <v>1.1331045587732316</v>
      </c>
      <c r="L256">
        <v>0</v>
      </c>
      <c r="M256">
        <v>7.9982225673488644E-4</v>
      </c>
      <c r="N256">
        <v>7.4079300504113155E-2</v>
      </c>
      <c r="O256">
        <v>1.0405849514541737E-2</v>
      </c>
      <c r="P256">
        <v>1.3340199121042682E-2</v>
      </c>
      <c r="Q256">
        <v>4.5283016863795916E-4</v>
      </c>
      <c r="R256">
        <v>7.9804709145788854E-4</v>
      </c>
      <c r="S256">
        <v>7.1294939830839579E-2</v>
      </c>
      <c r="T256">
        <v>0.81295700806669458</v>
      </c>
      <c r="U256">
        <v>0</v>
      </c>
      <c r="V256">
        <v>9.2678947515677457E-2</v>
      </c>
      <c r="W256">
        <v>4.8603096392149492E-2</v>
      </c>
      <c r="X256">
        <v>7.1221417180161008E-3</v>
      </c>
      <c r="Y256">
        <v>2.1720211067953765E-3</v>
      </c>
    </row>
    <row r="257" spans="1:25" x14ac:dyDescent="0.25">
      <c r="A257" s="1096"/>
      <c r="B257" s="1455">
        <v>7</v>
      </c>
      <c r="C257" s="1101">
        <v>0.96730377903458298</v>
      </c>
      <c r="D257" s="1101">
        <v>1.0069282731650813</v>
      </c>
      <c r="E257" s="1101">
        <v>0.99601261372593031</v>
      </c>
      <c r="F257" s="1101">
        <v>0.97801799407544088</v>
      </c>
      <c r="G257" s="1101">
        <v>1.0034109942578153</v>
      </c>
      <c r="H257" s="1101">
        <v>0.99251294467395301</v>
      </c>
      <c r="I257" s="1101">
        <v>1.0088069246534808</v>
      </c>
      <c r="K257">
        <v>1.1365005163341</v>
      </c>
      <c r="L257">
        <v>0</v>
      </c>
      <c r="M257">
        <v>8.2617601869298376E-4</v>
      </c>
      <c r="N257">
        <v>7.5114377304124597E-2</v>
      </c>
      <c r="O257">
        <v>1.0668228201863106E-2</v>
      </c>
      <c r="P257">
        <v>1.3296215512642174E-2</v>
      </c>
      <c r="Q257">
        <v>4.6139343075663099E-4</v>
      </c>
      <c r="R257">
        <v>8.2433243871520923E-4</v>
      </c>
      <c r="S257">
        <v>7.5401451695509006E-2</v>
      </c>
      <c r="T257">
        <v>0.80969853749594911</v>
      </c>
      <c r="U257">
        <v>0</v>
      </c>
      <c r="V257">
        <v>9.3078562598789716E-2</v>
      </c>
      <c r="W257">
        <v>4.9462305125649385E-2</v>
      </c>
      <c r="X257">
        <v>7.0777273917265789E-3</v>
      </c>
      <c r="Y257">
        <v>2.2435611570674088E-3</v>
      </c>
    </row>
    <row r="258" spans="1:25" x14ac:dyDescent="0.25">
      <c r="A258" s="1096"/>
      <c r="B258" s="1455">
        <v>8</v>
      </c>
      <c r="C258" s="1101">
        <v>1.001307846422921</v>
      </c>
      <c r="D258" s="1101">
        <v>1.0032878827551055</v>
      </c>
      <c r="E258" s="1101">
        <v>0.9927860943741158</v>
      </c>
      <c r="F258" s="1101">
        <v>0.98027109821519787</v>
      </c>
      <c r="G258" s="1101">
        <v>0.99819246382822391</v>
      </c>
      <c r="H258" s="1101">
        <v>1.0021141167449457</v>
      </c>
      <c r="I258" s="1101">
        <v>0.97686787039664724</v>
      </c>
      <c r="K258">
        <v>1.1293273870170797</v>
      </c>
      <c r="L258">
        <v>0</v>
      </c>
      <c r="M258">
        <v>8.1242287545636835E-4</v>
      </c>
      <c r="N258">
        <v>7.3148712512601757E-2</v>
      </c>
      <c r="O258">
        <v>1.031982814952034E-2</v>
      </c>
      <c r="P258">
        <v>1.3218185669017937E-2</v>
      </c>
      <c r="Q258">
        <v>4.4487569724993532E-4</v>
      </c>
      <c r="R258">
        <v>8.1062735424018294E-4</v>
      </c>
      <c r="S258">
        <v>7.1042894702969428E-2</v>
      </c>
      <c r="T258">
        <v>0.81177384676110342</v>
      </c>
      <c r="U258">
        <v>0</v>
      </c>
      <c r="V258">
        <v>9.198496007261725E-2</v>
      </c>
      <c r="W258">
        <v>4.8260797290114836E-2</v>
      </c>
      <c r="X258">
        <v>6.9288212480928041E-3</v>
      </c>
      <c r="Y258">
        <v>2.20626043500627E-3</v>
      </c>
    </row>
    <row r="259" spans="1:25" x14ac:dyDescent="0.25">
      <c r="A259" s="1096"/>
      <c r="B259" s="1455">
        <v>9</v>
      </c>
      <c r="C259" s="1101">
        <v>0.97016580200614799</v>
      </c>
      <c r="D259" s="1101">
        <v>1.0174792680585425</v>
      </c>
      <c r="E259" s="1101">
        <v>1.012896773768841</v>
      </c>
      <c r="F259" s="1101">
        <v>1.0307027169167651</v>
      </c>
      <c r="G259" s="1101">
        <v>0.99818033834869846</v>
      </c>
      <c r="H259" s="1101">
        <v>0.95085390800926683</v>
      </c>
      <c r="I259" s="1101">
        <v>1.000370578806802</v>
      </c>
      <c r="K259">
        <v>1.1719534333210098</v>
      </c>
      <c r="L259">
        <v>0</v>
      </c>
      <c r="M259">
        <v>7.5881446009608202E-4</v>
      </c>
      <c r="N259">
        <v>7.2592197633941452E-2</v>
      </c>
      <c r="O259">
        <v>1.0598159063445894E-2</v>
      </c>
      <c r="P259">
        <v>1.4003778359472856E-2</v>
      </c>
      <c r="Q259">
        <v>4.6618910415893261E-4</v>
      </c>
      <c r="R259">
        <v>7.570470091044938E-4</v>
      </c>
      <c r="S259">
        <v>7.2436661028742577E-2</v>
      </c>
      <c r="T259">
        <v>0.85216646172272237</v>
      </c>
      <c r="U259">
        <v>0</v>
      </c>
      <c r="V259">
        <v>9.2782153354526956E-2</v>
      </c>
      <c r="W259">
        <v>4.7325839294186073E-2</v>
      </c>
      <c r="X259">
        <v>7.5233288124994949E-3</v>
      </c>
      <c r="Y259">
        <v>2.0604323983029519E-3</v>
      </c>
    </row>
    <row r="260" spans="1:25" x14ac:dyDescent="0.25">
      <c r="A260" s="1096"/>
      <c r="B260" s="1455">
        <v>10</v>
      </c>
      <c r="C260" s="1101">
        <v>0.96015986217391125</v>
      </c>
      <c r="D260" s="1101">
        <v>0.96454754470417026</v>
      </c>
      <c r="E260" s="1101">
        <v>1.0287266178222949</v>
      </c>
      <c r="F260" s="1101">
        <v>1.007494892788251</v>
      </c>
      <c r="G260" s="1101">
        <v>0.98556684737442513</v>
      </c>
      <c r="H260" s="1101">
        <v>1.0338953989492812</v>
      </c>
      <c r="I260" s="1101">
        <v>0.99687642693325218</v>
      </c>
      <c r="K260">
        <v>1.1746826205611394</v>
      </c>
      <c r="L260">
        <v>0</v>
      </c>
      <c r="M260">
        <v>8.2409200421804303E-4</v>
      </c>
      <c r="N260">
        <v>8.2708486138687379E-2</v>
      </c>
      <c r="O260">
        <v>1.0945398667653585E-2</v>
      </c>
      <c r="P260">
        <v>1.3967094430490637E-2</v>
      </c>
      <c r="Q260">
        <v>4.8909678152479373E-4</v>
      </c>
      <c r="R260">
        <v>8.2232667920154739E-4</v>
      </c>
      <c r="S260">
        <v>7.8557110368825803E-2</v>
      </c>
      <c r="T260">
        <v>0.83193354063315417</v>
      </c>
      <c r="U260">
        <v>0</v>
      </c>
      <c r="V260">
        <v>9.2512285556822851E-2</v>
      </c>
      <c r="W260">
        <v>5.3424301712230823E-2</v>
      </c>
      <c r="X260">
        <v>7.9089694558964144E-3</v>
      </c>
      <c r="Y260">
        <v>2.238102140869668E-3</v>
      </c>
    </row>
    <row r="261" spans="1:25" x14ac:dyDescent="0.25">
      <c r="A261" s="1096"/>
      <c r="B261" s="1455">
        <v>11</v>
      </c>
      <c r="C261" s="1101">
        <v>0.99647405971659531</v>
      </c>
      <c r="D261" s="1101">
        <v>1.0283180005025903</v>
      </c>
      <c r="E261" s="1101">
        <v>1.0391613929153387</v>
      </c>
      <c r="F261" s="1101">
        <v>1.0066886474186041</v>
      </c>
      <c r="G261" s="1101">
        <v>1.0237132754336307</v>
      </c>
      <c r="H261" s="1101">
        <v>0.98626866650531486</v>
      </c>
      <c r="I261" s="1101">
        <v>1.0104017751679002</v>
      </c>
      <c r="K261">
        <v>1.1534749056811964</v>
      </c>
      <c r="L261">
        <v>0</v>
      </c>
      <c r="M261">
        <v>7.2243977628759352E-4</v>
      </c>
      <c r="N261">
        <v>7.4814949415867069E-2</v>
      </c>
      <c r="O261">
        <v>1.0283276384123817E-2</v>
      </c>
      <c r="P261">
        <v>1.3976263681052483E-2</v>
      </c>
      <c r="Q261">
        <v>4.642646168324235E-4</v>
      </c>
      <c r="R261">
        <v>7.2081747321236156E-4</v>
      </c>
      <c r="S261">
        <v>7.2318812657237705E-2</v>
      </c>
      <c r="T261">
        <v>0.83058389227437945</v>
      </c>
      <c r="U261">
        <v>0</v>
      </c>
      <c r="V261">
        <v>9.3203102971132074E-2</v>
      </c>
      <c r="W261">
        <v>4.8034658288256808E-2</v>
      </c>
      <c r="X261">
        <v>7.835480150720886E-3</v>
      </c>
      <c r="Y261">
        <v>1.9618275446678648E-3</v>
      </c>
    </row>
    <row r="262" spans="1:25" x14ac:dyDescent="0.25">
      <c r="A262" s="1096"/>
      <c r="B262" s="1455">
        <v>12</v>
      </c>
      <c r="C262" s="1101">
        <v>0.99036974073102846</v>
      </c>
      <c r="D262" s="1101">
        <v>1.0122672369508794</v>
      </c>
      <c r="E262" s="1101">
        <v>0.97506098001061536</v>
      </c>
      <c r="F262" s="1101">
        <v>1.0398130158606058</v>
      </c>
      <c r="G262" s="1101">
        <v>0.97594828876356521</v>
      </c>
      <c r="H262" s="1101">
        <v>0.98905532849996813</v>
      </c>
      <c r="I262" s="1101">
        <v>0.9962243990205899</v>
      </c>
      <c r="K262">
        <v>1.1788751604794618</v>
      </c>
      <c r="L262">
        <v>0</v>
      </c>
      <c r="M262">
        <v>8.3798358814545079E-4</v>
      </c>
      <c r="N262">
        <v>7.1509342444439544E-2</v>
      </c>
      <c r="O262">
        <v>1.0390870447270092E-2</v>
      </c>
      <c r="P262">
        <v>1.3726426210394903E-2</v>
      </c>
      <c r="Q262">
        <v>4.399577828502873E-4</v>
      </c>
      <c r="R262">
        <v>8.3610712299159477E-4</v>
      </c>
      <c r="S262">
        <v>7.2364331046845864E-2</v>
      </c>
      <c r="T262">
        <v>0.8623109958669587</v>
      </c>
      <c r="U262">
        <v>0</v>
      </c>
      <c r="V262">
        <v>9.1304401347685013E-2</v>
      </c>
      <c r="W262">
        <v>4.7685286240587807E-2</v>
      </c>
      <c r="X262">
        <v>6.8698175914395955E-3</v>
      </c>
      <c r="Y262">
        <v>2.275607966144102E-3</v>
      </c>
    </row>
    <row r="263" spans="1:25" x14ac:dyDescent="0.25">
      <c r="A263" s="1096"/>
      <c r="B263" s="1455">
        <v>13</v>
      </c>
      <c r="C263" s="1101">
        <v>0.96351985969213194</v>
      </c>
      <c r="D263" s="1101">
        <v>0.99974855657904782</v>
      </c>
      <c r="E263" s="1101">
        <v>0.98082764602737604</v>
      </c>
      <c r="F263" s="1101">
        <v>1.0018831482272073</v>
      </c>
      <c r="G263" s="1101">
        <v>1.0367959555459354</v>
      </c>
      <c r="H263" s="1101">
        <v>1.032460440553542</v>
      </c>
      <c r="I263" s="1101">
        <v>1.0108410776376637</v>
      </c>
      <c r="K263">
        <v>1.1660052037286139</v>
      </c>
      <c r="L263">
        <v>0</v>
      </c>
      <c r="M263">
        <v>8.929144965561383E-4</v>
      </c>
      <c r="N263">
        <v>7.7545539749763942E-2</v>
      </c>
      <c r="O263">
        <v>1.0735675043207759E-2</v>
      </c>
      <c r="P263">
        <v>1.3476773457540694E-2</v>
      </c>
      <c r="Q263">
        <v>4.5723224111269303E-4</v>
      </c>
      <c r="R263">
        <v>8.9099908531720703E-4</v>
      </c>
      <c r="S263">
        <v>7.781561153537507E-2</v>
      </c>
      <c r="T263">
        <v>0.83046934974804876</v>
      </c>
      <c r="U263">
        <v>0</v>
      </c>
      <c r="V263">
        <v>9.4604583273407164E-2</v>
      </c>
      <c r="W263">
        <v>5.1530425702338928E-2</v>
      </c>
      <c r="X263">
        <v>6.9469225965942292E-3</v>
      </c>
      <c r="Y263">
        <v>2.425005792463901E-3</v>
      </c>
    </row>
    <row r="264" spans="1:25" x14ac:dyDescent="0.25">
      <c r="A264" s="1096"/>
      <c r="B264" s="1455">
        <v>14</v>
      </c>
      <c r="C264" s="1101">
        <v>0.96390304541870231</v>
      </c>
      <c r="D264" s="1101">
        <v>1.0263715534532709</v>
      </c>
      <c r="E264" s="1101">
        <v>0.99270708046059009</v>
      </c>
      <c r="F264" s="1101">
        <v>0.96420045107595298</v>
      </c>
      <c r="G264" s="1101">
        <v>1.0072339988953924</v>
      </c>
      <c r="H264" s="1101">
        <v>0.98794240403539491</v>
      </c>
      <c r="I264" s="1101">
        <v>0.97141307825565371</v>
      </c>
      <c r="K264">
        <v>1.1202891729151601</v>
      </c>
      <c r="L264">
        <v>0</v>
      </c>
      <c r="M264">
        <v>8.2461331068635151E-4</v>
      </c>
      <c r="N264">
        <v>7.4226221904264436E-2</v>
      </c>
      <c r="O264">
        <v>1.0623167570741691E-2</v>
      </c>
      <c r="P264">
        <v>1.3067802022929306E-2</v>
      </c>
      <c r="Q264">
        <v>4.5791578719324677E-4</v>
      </c>
      <c r="R264">
        <v>8.2276470496748361E-4</v>
      </c>
      <c r="S264">
        <v>7.1961509247722696E-2</v>
      </c>
      <c r="T264">
        <v>0.79847061950665765</v>
      </c>
      <c r="U264">
        <v>0</v>
      </c>
      <c r="V264">
        <v>9.3331891499135566E-2</v>
      </c>
      <c r="W264">
        <v>4.8974010930756449E-2</v>
      </c>
      <c r="X264">
        <v>6.9385887488693223E-3</v>
      </c>
      <c r="Y264">
        <v>2.2392943026093913E-3</v>
      </c>
    </row>
    <row r="265" spans="1:25" x14ac:dyDescent="0.25">
      <c r="A265" s="1096"/>
      <c r="B265" s="1455">
        <v>15</v>
      </c>
      <c r="C265" s="1101">
        <v>1.0116350181685287</v>
      </c>
      <c r="D265" s="1101">
        <v>1.0164667471909046</v>
      </c>
      <c r="E265" s="1101">
        <v>1.0185186627268472</v>
      </c>
      <c r="F265" s="1101">
        <v>1.0242960619107651</v>
      </c>
      <c r="G265" s="1101">
        <v>0.96823764084281705</v>
      </c>
      <c r="H265" s="1101">
        <v>1.0245453464351892</v>
      </c>
      <c r="I265" s="1101">
        <v>1.0118432777892883</v>
      </c>
      <c r="K265">
        <v>1.1689310539215123</v>
      </c>
      <c r="L265">
        <v>0</v>
      </c>
      <c r="M265">
        <v>7.7530270140125138E-4</v>
      </c>
      <c r="N265">
        <v>7.5451265665013631E-2</v>
      </c>
      <c r="O265">
        <v>1.016957635336172E-2</v>
      </c>
      <c r="P265">
        <v>1.3963029605733071E-2</v>
      </c>
      <c r="Q265">
        <v>4.4984981970141465E-4</v>
      </c>
      <c r="R265">
        <v>7.7362673352543497E-4</v>
      </c>
      <c r="S265">
        <v>7.3286510224549378E-2</v>
      </c>
      <c r="T265">
        <v>0.8464912468421647</v>
      </c>
      <c r="U265">
        <v>0</v>
      </c>
      <c r="V265">
        <v>9.0455885095188177E-2</v>
      </c>
      <c r="W265">
        <v>4.9027713270818674E-2</v>
      </c>
      <c r="X265">
        <v>7.5320960701829413E-3</v>
      </c>
      <c r="Y265">
        <v>2.1055569426720669E-3</v>
      </c>
    </row>
    <row r="266" spans="1:25" x14ac:dyDescent="0.25">
      <c r="A266" s="1096"/>
      <c r="B266" s="1455">
        <v>16</v>
      </c>
      <c r="C266" s="1101">
        <v>1.0164852458915041</v>
      </c>
      <c r="D266" s="1101">
        <v>0.99292329127286372</v>
      </c>
      <c r="E266" s="1101">
        <v>1.0227198903263133</v>
      </c>
      <c r="F266" s="1101">
        <v>1.0457197793660513</v>
      </c>
      <c r="G266" s="1101">
        <v>0.99215438441655479</v>
      </c>
      <c r="H266" s="1101">
        <v>0.99814299448922084</v>
      </c>
      <c r="I266" s="1101">
        <v>0.98468283955521174</v>
      </c>
      <c r="K266">
        <v>1.1828648161097095</v>
      </c>
      <c r="L266">
        <v>0</v>
      </c>
      <c r="M266">
        <v>7.5219418576152604E-4</v>
      </c>
      <c r="N266">
        <v>7.4131775164564567E-2</v>
      </c>
      <c r="O266">
        <v>1.0217731210887317E-2</v>
      </c>
      <c r="P266">
        <v>1.4225550232184716E-2</v>
      </c>
      <c r="Q266">
        <v>4.5387099634929901E-4</v>
      </c>
      <c r="R266">
        <v>7.5052516097260009E-4</v>
      </c>
      <c r="S266">
        <v>7.079624269977898E-2</v>
      </c>
      <c r="T266">
        <v>0.86390815616420435</v>
      </c>
      <c r="U266">
        <v>0</v>
      </c>
      <c r="V266">
        <v>9.1361881395138345E-2</v>
      </c>
      <c r="W266">
        <v>4.8052120436031368E-2</v>
      </c>
      <c r="X266">
        <v>7.6764747577427973E-3</v>
      </c>
      <c r="Y266">
        <v>2.0426820776145963E-3</v>
      </c>
    </row>
    <row r="267" spans="1:25" x14ac:dyDescent="0.25">
      <c r="A267" s="1096"/>
      <c r="B267" s="1455">
        <v>17</v>
      </c>
      <c r="C267" s="1101">
        <v>0.98560219233357338</v>
      </c>
      <c r="D267" s="1101">
        <v>1.0043921167392265</v>
      </c>
      <c r="E267" s="1101">
        <v>1.0243785826560059</v>
      </c>
      <c r="F267" s="1101">
        <v>1.002603974479662</v>
      </c>
      <c r="G267" s="1101">
        <v>1.0350722801674213</v>
      </c>
      <c r="H267" s="1101">
        <v>1.0190333003566647</v>
      </c>
      <c r="I267" s="1101">
        <v>0.97553659413124716</v>
      </c>
      <c r="K267">
        <v>1.1576561558738161</v>
      </c>
      <c r="L267">
        <v>0</v>
      </c>
      <c r="M267">
        <v>7.8565220992711385E-4</v>
      </c>
      <c r="N267">
        <v>7.7821065040099377E-2</v>
      </c>
      <c r="O267">
        <v>1.0490150035218299E-2</v>
      </c>
      <c r="P267">
        <v>1.3810241818153761E-2</v>
      </c>
      <c r="Q267">
        <v>4.6673933416084226E-4</v>
      </c>
      <c r="R267">
        <v>7.8394468309052421E-4</v>
      </c>
      <c r="S267">
        <v>7.2753068268240753E-2</v>
      </c>
      <c r="T267">
        <v>0.828179749710515</v>
      </c>
      <c r="U267">
        <v>0</v>
      </c>
      <c r="V267">
        <v>9.3960627991471188E-2</v>
      </c>
      <c r="W267">
        <v>5.039472177376262E-2</v>
      </c>
      <c r="X267">
        <v>7.6478604289543332E-3</v>
      </c>
      <c r="Y267">
        <v>2.1336390000770795E-3</v>
      </c>
    </row>
    <row r="268" spans="1:25" x14ac:dyDescent="0.25">
      <c r="A268" s="1096"/>
      <c r="B268" s="1455">
        <v>18</v>
      </c>
      <c r="C268" s="1101">
        <v>1.0232032119729118</v>
      </c>
      <c r="D268" s="1101">
        <v>0.98591947564715021</v>
      </c>
      <c r="E268" s="1101">
        <v>1.0263772497554744</v>
      </c>
      <c r="F268" s="1101">
        <v>1.0007347076662791</v>
      </c>
      <c r="G268" s="1101">
        <v>0.97990630666824186</v>
      </c>
      <c r="H268" s="1101">
        <v>0.98644246088407772</v>
      </c>
      <c r="I268" s="1101">
        <v>0.96184851770627477</v>
      </c>
      <c r="K268">
        <v>1.1401534122984491</v>
      </c>
      <c r="L268">
        <v>0</v>
      </c>
      <c r="M268">
        <v>7.3497188837656964E-4</v>
      </c>
      <c r="N268">
        <v>7.3235874925045602E-2</v>
      </c>
      <c r="O268">
        <v>1.018060858530942E-2</v>
      </c>
      <c r="P268">
        <v>1.3702363591071435E-2</v>
      </c>
      <c r="Q268">
        <v>4.5386513388847677E-4</v>
      </c>
      <c r="R268">
        <v>7.3332173410410465E-4</v>
      </c>
      <c r="S268">
        <v>6.8504628987171856E-2</v>
      </c>
      <c r="T268">
        <v>0.82650490802706655</v>
      </c>
      <c r="U268">
        <v>0</v>
      </c>
      <c r="V268">
        <v>9.067890927566169E-2</v>
      </c>
      <c r="W268">
        <v>4.7370292414997024E-2</v>
      </c>
      <c r="X268">
        <v>7.5277514917212506E-3</v>
      </c>
      <c r="Y268">
        <v>1.9958600207866948E-3</v>
      </c>
    </row>
    <row r="269" spans="1:25" x14ac:dyDescent="0.25">
      <c r="A269" s="1096"/>
      <c r="B269" s="1455">
        <v>19</v>
      </c>
      <c r="C269" s="1101">
        <v>1.0137820082510995</v>
      </c>
      <c r="D269" s="1101">
        <v>1.0003051775973619</v>
      </c>
      <c r="E269" s="1101">
        <v>1.005570611006382</v>
      </c>
      <c r="F269" s="1101">
        <v>0.9769576393267877</v>
      </c>
      <c r="G269" s="1101">
        <v>1.0042979598598267</v>
      </c>
      <c r="H269" s="1101">
        <v>1.0000846594888624</v>
      </c>
      <c r="I269" s="1101">
        <v>0.97971381488730491</v>
      </c>
      <c r="K269">
        <v>1.1246376294057909</v>
      </c>
      <c r="L269">
        <v>0</v>
      </c>
      <c r="M269">
        <v>7.8077593001507498E-4</v>
      </c>
      <c r="N269">
        <v>7.306755062679135E-2</v>
      </c>
      <c r="O269">
        <v>1.020911977700179E-2</v>
      </c>
      <c r="P269">
        <v>1.328704154945325E-2</v>
      </c>
      <c r="Q269">
        <v>4.4579795607317332E-4</v>
      </c>
      <c r="R269">
        <v>7.7904684945292232E-4</v>
      </c>
      <c r="S269">
        <v>7.041550987338363E-2</v>
      </c>
      <c r="T269">
        <v>0.8082027080725781</v>
      </c>
      <c r="U269">
        <v>0</v>
      </c>
      <c r="V269">
        <v>9.1943304919494831E-2</v>
      </c>
      <c r="W269">
        <v>4.7842101222475918E-2</v>
      </c>
      <c r="X269">
        <v>7.1059157776137954E-3</v>
      </c>
      <c r="Y269">
        <v>2.1203087114859526E-3</v>
      </c>
    </row>
    <row r="270" spans="1:25" x14ac:dyDescent="0.25">
      <c r="A270" s="1096"/>
      <c r="B270" s="1455">
        <v>20</v>
      </c>
      <c r="C270" s="1101">
        <v>1.0039932880502467</v>
      </c>
      <c r="D270" s="1101">
        <v>1.0213969405379917</v>
      </c>
      <c r="E270" s="1101">
        <v>1.0188939850941769</v>
      </c>
      <c r="F270" s="1101">
        <v>0.99174545187105234</v>
      </c>
      <c r="G270" s="1101">
        <v>1.0072347530892292</v>
      </c>
      <c r="H270" s="1101">
        <v>0.99781446918364847</v>
      </c>
      <c r="I270" s="1101">
        <v>0.97028812301300493</v>
      </c>
      <c r="K270">
        <v>1.1371178105634694</v>
      </c>
      <c r="L270">
        <v>0</v>
      </c>
      <c r="M270">
        <v>7.5875806558941281E-4</v>
      </c>
      <c r="N270">
        <v>7.3920540036221408E-2</v>
      </c>
      <c r="O270">
        <v>1.0227288851137991E-2</v>
      </c>
      <c r="P270">
        <v>1.3569248638896718E-2</v>
      </c>
      <c r="Q270">
        <v>4.5257167848342122E-4</v>
      </c>
      <c r="R270">
        <v>7.5707392205924529E-4</v>
      </c>
      <c r="S270">
        <v>6.9594627637236825E-2</v>
      </c>
      <c r="T270">
        <v>0.81956659279344368</v>
      </c>
      <c r="U270">
        <v>0</v>
      </c>
      <c r="V270">
        <v>9.2309252475346965E-2</v>
      </c>
      <c r="W270">
        <v>4.8022501447315562E-2</v>
      </c>
      <c r="X270">
        <v>7.3963655024215933E-3</v>
      </c>
      <c r="Y270">
        <v>2.0605056464939315E-3</v>
      </c>
    </row>
    <row r="271" spans="1:25" x14ac:dyDescent="0.25">
      <c r="A271" s="1096"/>
      <c r="B271" s="1455">
        <v>21</v>
      </c>
      <c r="C271" s="1101">
        <v>0.96788739028315052</v>
      </c>
      <c r="D271" s="1101">
        <v>1.0161888913259869</v>
      </c>
      <c r="E271" s="1101">
        <v>1.0122623322798121</v>
      </c>
      <c r="F271" s="1101">
        <v>1.0128835910694161</v>
      </c>
      <c r="G271" s="1101">
        <v>0.97265784929518551</v>
      </c>
      <c r="H271" s="1101">
        <v>0.96063249110767779</v>
      </c>
      <c r="I271" s="1101">
        <v>0.98731262023654098</v>
      </c>
      <c r="K271">
        <v>1.1571932394741646</v>
      </c>
      <c r="L271">
        <v>0</v>
      </c>
      <c r="M271">
        <v>7.6982729268643027E-4</v>
      </c>
      <c r="N271">
        <v>7.3506592460230377E-2</v>
      </c>
      <c r="O271">
        <v>1.062828731889435E-2</v>
      </c>
      <c r="P271">
        <v>1.3776438837947092E-2</v>
      </c>
      <c r="Q271">
        <v>4.6721839020634227E-4</v>
      </c>
      <c r="R271">
        <v>7.6805244286815932E-4</v>
      </c>
      <c r="S271">
        <v>7.210893114848399E-2</v>
      </c>
      <c r="T271">
        <v>0.83747621135445072</v>
      </c>
      <c r="U271">
        <v>0</v>
      </c>
      <c r="V271">
        <v>9.1751220410455636E-2</v>
      </c>
      <c r="W271">
        <v>4.7939866167048713E-2</v>
      </c>
      <c r="X271">
        <v>7.4498626751976849E-3</v>
      </c>
      <c r="Y271">
        <v>2.0903855610673833E-3</v>
      </c>
    </row>
    <row r="272" spans="1:25" x14ac:dyDescent="0.25">
      <c r="A272" s="1096"/>
      <c r="B272" s="1455">
        <v>22</v>
      </c>
      <c r="C272" s="1101">
        <v>1.0369594907298183</v>
      </c>
      <c r="D272" s="1101">
        <v>1.0150363652404086</v>
      </c>
      <c r="E272" s="1101">
        <v>0.99883358508256559</v>
      </c>
      <c r="F272" s="1101">
        <v>0.98664310771799268</v>
      </c>
      <c r="G272" s="1101">
        <v>0.9970979524132737</v>
      </c>
      <c r="H272" s="1101">
        <v>1.0056691043777004</v>
      </c>
      <c r="I272" s="1101">
        <v>0.99250468398836045</v>
      </c>
      <c r="K272">
        <v>1.1274969714395877</v>
      </c>
      <c r="L272">
        <v>0</v>
      </c>
      <c r="M272">
        <v>7.7385411902020302E-4</v>
      </c>
      <c r="N272">
        <v>7.0961760365238963E-2</v>
      </c>
      <c r="O272">
        <v>9.9206218787785821E-3</v>
      </c>
      <c r="P272">
        <v>1.3310470152637281E-2</v>
      </c>
      <c r="Q272">
        <v>4.3028008195693663E-4</v>
      </c>
      <c r="R272">
        <v>7.7214988367455613E-4</v>
      </c>
      <c r="S272">
        <v>6.9427834169830144E-2</v>
      </c>
      <c r="T272">
        <v>0.81665474706719265</v>
      </c>
      <c r="U272">
        <v>0</v>
      </c>
      <c r="V272">
        <v>9.1088121979880421E-2</v>
      </c>
      <c r="W272">
        <v>4.6649396161194408E-2</v>
      </c>
      <c r="X272">
        <v>6.9539063740011557E-3</v>
      </c>
      <c r="Y272">
        <v>2.1015374442213976E-3</v>
      </c>
    </row>
    <row r="273" spans="1:25" x14ac:dyDescent="0.25">
      <c r="A273" s="1096"/>
      <c r="B273" s="1455">
        <v>23</v>
      </c>
      <c r="C273" s="1101">
        <v>1.0081398587564423</v>
      </c>
      <c r="D273" s="1101">
        <v>1.026621482752895</v>
      </c>
      <c r="E273" s="1101">
        <v>0.99542044720075307</v>
      </c>
      <c r="F273" s="1101">
        <v>0.96710297978796256</v>
      </c>
      <c r="G273" s="1101">
        <v>1.0176799475590084</v>
      </c>
      <c r="H273" s="1101">
        <v>0.98800580212772704</v>
      </c>
      <c r="I273" s="1101">
        <v>1.008685492827692</v>
      </c>
      <c r="K273">
        <v>1.1155255043694803</v>
      </c>
      <c r="L273">
        <v>0</v>
      </c>
      <c r="M273">
        <v>7.8398251551081038E-4</v>
      </c>
      <c r="N273">
        <v>7.1150049797183798E-2</v>
      </c>
      <c r="O273">
        <v>1.0156908541750737E-2</v>
      </c>
      <c r="P273">
        <v>1.3108386812746533E-2</v>
      </c>
      <c r="Q273">
        <v>4.390171954954403E-4</v>
      </c>
      <c r="R273">
        <v>7.8222510807362448E-4</v>
      </c>
      <c r="S273">
        <v>7.1440565022831526E-2</v>
      </c>
      <c r="T273">
        <v>0.80070001971386962</v>
      </c>
      <c r="U273">
        <v>0</v>
      </c>
      <c r="V273">
        <v>9.2650835690234398E-2</v>
      </c>
      <c r="W273">
        <v>4.6868370867750107E-2</v>
      </c>
      <c r="X273">
        <v>6.8841492513149038E-3</v>
      </c>
      <c r="Y273">
        <v>2.1289588837388311E-3</v>
      </c>
    </row>
    <row r="274" spans="1:25" x14ac:dyDescent="0.25">
      <c r="A274" s="1096"/>
      <c r="B274" s="1455">
        <v>24</v>
      </c>
      <c r="C274" s="1101">
        <v>0.99730863573777295</v>
      </c>
      <c r="D274" s="1101">
        <v>0.99809545390792342</v>
      </c>
      <c r="E274" s="1101">
        <v>1.0410754854999977</v>
      </c>
      <c r="F274" s="1101">
        <v>0.99075256253023325</v>
      </c>
      <c r="G274" s="1101">
        <v>0.98808331486630285</v>
      </c>
      <c r="H274" s="1101">
        <v>0.97626542751576773</v>
      </c>
      <c r="I274" s="1101">
        <v>0.99860659229376214</v>
      </c>
      <c r="K274">
        <v>1.1386349569390284</v>
      </c>
      <c r="L274">
        <v>0</v>
      </c>
      <c r="M274">
        <v>7.2020825303545366E-4</v>
      </c>
      <c r="N274">
        <v>7.5013410687818777E-2</v>
      </c>
      <c r="O274">
        <v>1.0398638573485421E-2</v>
      </c>
      <c r="P274">
        <v>1.3784525515624261E-2</v>
      </c>
      <c r="Q274">
        <v>4.7035730940640341E-4</v>
      </c>
      <c r="R274">
        <v>7.185743895699203E-4</v>
      </c>
      <c r="S274">
        <v>7.2112082787142179E-2</v>
      </c>
      <c r="T274">
        <v>0.8173124971187522</v>
      </c>
      <c r="U274">
        <v>0</v>
      </c>
      <c r="V274">
        <v>9.1660226969894051E-2</v>
      </c>
      <c r="W274">
        <v>4.8109019458806232E-2</v>
      </c>
      <c r="X274">
        <v>7.8201097711385892E-3</v>
      </c>
      <c r="Y274">
        <v>1.9557226104254637E-3</v>
      </c>
    </row>
    <row r="275" spans="1:25" x14ac:dyDescent="0.25">
      <c r="A275" s="1096"/>
      <c r="B275" s="1455">
        <v>25</v>
      </c>
      <c r="C275" s="1101">
        <v>0.98259477669293749</v>
      </c>
      <c r="D275" s="1101">
        <v>0.96506663804311421</v>
      </c>
      <c r="E275" s="1101">
        <v>1.0197416226195772</v>
      </c>
      <c r="F275" s="1101">
        <v>0.98827209494420798</v>
      </c>
      <c r="G275" s="1101">
        <v>0.98872903966784365</v>
      </c>
      <c r="H275" s="1101">
        <v>1.0103064364767331</v>
      </c>
      <c r="I275" s="1101">
        <v>0.97604144376338087</v>
      </c>
      <c r="K275">
        <v>1.1464786987418005</v>
      </c>
      <c r="L275">
        <v>0</v>
      </c>
      <c r="M275">
        <v>8.0158953322432929E-4</v>
      </c>
      <c r="N275">
        <v>7.8295427618203545E-2</v>
      </c>
      <c r="O275">
        <v>1.0690141398436567E-2</v>
      </c>
      <c r="P275">
        <v>1.3596953493993102E-2</v>
      </c>
      <c r="Q275">
        <v>4.7345249160033349E-4</v>
      </c>
      <c r="R275">
        <v>7.9983231986715273E-4</v>
      </c>
      <c r="S275">
        <v>7.416021607025855E-2</v>
      </c>
      <c r="T275">
        <v>0.81664131702058096</v>
      </c>
      <c r="U275">
        <v>0</v>
      </c>
      <c r="V275">
        <v>9.2056176674231507E-2</v>
      </c>
      <c r="W275">
        <v>5.0839416790985831E-2</v>
      </c>
      <c r="X275">
        <v>7.5504744868402519E-3</v>
      </c>
      <c r="Y275">
        <v>2.1768799100250072E-3</v>
      </c>
    </row>
    <row r="276" spans="1:25" x14ac:dyDescent="0.25">
      <c r="A276" s="1096"/>
      <c r="B276" s="1455">
        <v>26</v>
      </c>
      <c r="C276" s="1101">
        <v>0.99830613884407426</v>
      </c>
      <c r="D276" s="1101">
        <v>1.0129065759029214</v>
      </c>
      <c r="E276" s="1101">
        <v>1.0166761931921859</v>
      </c>
      <c r="F276" s="1101">
        <v>1.0012958618887304</v>
      </c>
      <c r="G276" s="1101">
        <v>0.95826930764382956</v>
      </c>
      <c r="H276" s="1101">
        <v>1.0258800217925521</v>
      </c>
      <c r="I276" s="1101">
        <v>1.0313186496903388</v>
      </c>
      <c r="K276">
        <v>1.1542630590931791</v>
      </c>
      <c r="L276">
        <v>0</v>
      </c>
      <c r="M276">
        <v>7.908071730833257E-4</v>
      </c>
      <c r="N276">
        <v>7.6533694357587723E-2</v>
      </c>
      <c r="O276">
        <v>1.0319226093008385E-2</v>
      </c>
      <c r="P276">
        <v>1.37180010306322E-2</v>
      </c>
      <c r="Q276">
        <v>4.5563310976384845E-4</v>
      </c>
      <c r="R276">
        <v>7.8909991331806248E-4</v>
      </c>
      <c r="S276">
        <v>7.5883914712306738E-2</v>
      </c>
      <c r="T276">
        <v>0.82760467639397062</v>
      </c>
      <c r="U276">
        <v>0</v>
      </c>
      <c r="V276">
        <v>9.0356654623004629E-2</v>
      </c>
      <c r="W276">
        <v>4.9784805625138331E-2</v>
      </c>
      <c r="X276">
        <v>7.4604905701950415E-3</v>
      </c>
      <c r="Y276">
        <v>2.147669837335252E-3</v>
      </c>
    </row>
    <row r="277" spans="1:25" x14ac:dyDescent="0.25">
      <c r="A277" s="1096"/>
      <c r="B277" s="1455">
        <v>27</v>
      </c>
      <c r="C277" s="1101">
        <v>0.99968332062739973</v>
      </c>
      <c r="D277" s="1101">
        <v>1.0146900064646427</v>
      </c>
      <c r="E277" s="1101">
        <v>0.98035766421507109</v>
      </c>
      <c r="F277" s="1101">
        <v>0.99474510402352623</v>
      </c>
      <c r="G277" s="1101">
        <v>1.0230041019937193</v>
      </c>
      <c r="H277" s="1101">
        <v>0.99721477062228148</v>
      </c>
      <c r="I277" s="1101">
        <v>0.99664191714039352</v>
      </c>
      <c r="K277">
        <v>1.1420697994624223</v>
      </c>
      <c r="L277">
        <v>0</v>
      </c>
      <c r="M277">
        <v>8.271198399464522E-4</v>
      </c>
      <c r="N277">
        <v>7.1724056897768659E-2</v>
      </c>
      <c r="O277">
        <v>1.0285942780243222E-2</v>
      </c>
      <c r="P277">
        <v>1.329383453722803E-2</v>
      </c>
      <c r="Q277">
        <v>4.3786900471675381E-4</v>
      </c>
      <c r="R277">
        <v>8.252828562005769E-4</v>
      </c>
      <c r="S277">
        <v>7.1967191558885063E-2</v>
      </c>
      <c r="T277">
        <v>0.82458381019083127</v>
      </c>
      <c r="U277">
        <v>0</v>
      </c>
      <c r="V277">
        <v>9.308453309593416E-2</v>
      </c>
      <c r="W277">
        <v>4.7675465513274055E-2</v>
      </c>
      <c r="X277">
        <v>6.772784987128409E-3</v>
      </c>
      <c r="Y277">
        <v>2.2461478801575402E-3</v>
      </c>
    </row>
    <row r="278" spans="1:25" x14ac:dyDescent="0.25">
      <c r="A278" s="1096"/>
      <c r="B278" s="1455">
        <v>28</v>
      </c>
      <c r="C278" s="1101">
        <v>0.97438468848627402</v>
      </c>
      <c r="D278" s="1101">
        <v>1.0015655599515683</v>
      </c>
      <c r="E278" s="1101">
        <v>0.99078402437018054</v>
      </c>
      <c r="F278" s="1101">
        <v>0.9932069572629173</v>
      </c>
      <c r="G278" s="1101">
        <v>0.99393763621083731</v>
      </c>
      <c r="H278" s="1101">
        <v>1.0263443672290764</v>
      </c>
      <c r="I278" s="1101">
        <v>1.0110085772171233</v>
      </c>
      <c r="K278">
        <v>1.1533172124393689</v>
      </c>
      <c r="L278">
        <v>0</v>
      </c>
      <c r="M278">
        <v>8.5920141143491183E-4</v>
      </c>
      <c r="N278">
        <v>7.6897768650477039E-2</v>
      </c>
      <c r="O278">
        <v>1.0611594314847726E-2</v>
      </c>
      <c r="P278">
        <v>1.3427797130061633E-2</v>
      </c>
      <c r="Q278">
        <v>4.5652953182325699E-4</v>
      </c>
      <c r="R278">
        <v>8.5734733575824256E-4</v>
      </c>
      <c r="S278">
        <v>7.664360839943761E-2</v>
      </c>
      <c r="T278">
        <v>0.82261835651311477</v>
      </c>
      <c r="U278">
        <v>0</v>
      </c>
      <c r="V278">
        <v>9.2486518148931107E-2</v>
      </c>
      <c r="W278">
        <v>5.0795084277327672E-2</v>
      </c>
      <c r="X278">
        <v>7.0483927255627693E-3</v>
      </c>
      <c r="Y278">
        <v>2.3334168234606604E-3</v>
      </c>
    </row>
    <row r="279" spans="1:25" x14ac:dyDescent="0.25">
      <c r="A279" s="1096"/>
      <c r="B279" s="1455">
        <v>29</v>
      </c>
      <c r="C279" s="1101">
        <v>0.98977886227282175</v>
      </c>
      <c r="D279" s="1101">
        <v>1.0113553890182168</v>
      </c>
      <c r="E279" s="1101">
        <v>0.99401974815487515</v>
      </c>
      <c r="F279" s="1101">
        <v>0.9873699675300126</v>
      </c>
      <c r="G279" s="1101">
        <v>0.980859863365667</v>
      </c>
      <c r="H279" s="1101">
        <v>1.0058981629313675</v>
      </c>
      <c r="I279" s="1101">
        <v>0.98992052542902398</v>
      </c>
      <c r="K279">
        <v>1.1382052882795672</v>
      </c>
      <c r="L279">
        <v>0</v>
      </c>
      <c r="M279">
        <v>8.2025129757015323E-4</v>
      </c>
      <c r="N279">
        <v>7.413009322836038E-2</v>
      </c>
      <c r="O279">
        <v>1.0407047801366939E-2</v>
      </c>
      <c r="P279">
        <v>1.332530541302732E-2</v>
      </c>
      <c r="Q279">
        <v>4.4919434620838963E-4</v>
      </c>
      <c r="R279">
        <v>8.1844529448046595E-4</v>
      </c>
      <c r="S279">
        <v>7.2686802319974111E-2</v>
      </c>
      <c r="T279">
        <v>0.81757160022096709</v>
      </c>
      <c r="U279">
        <v>0</v>
      </c>
      <c r="V279">
        <v>9.1532313758488346E-2</v>
      </c>
      <c r="W279">
        <v>4.8872241304761567E-2</v>
      </c>
      <c r="X279">
        <v>7.00495759834631E-3</v>
      </c>
      <c r="Y279">
        <v>2.2275382911570141E-3</v>
      </c>
    </row>
    <row r="280" spans="1:25" x14ac:dyDescent="0.25">
      <c r="A280" s="1096"/>
      <c r="B280" s="1455">
        <v>30</v>
      </c>
      <c r="C280" s="1101">
        <v>0.98687300089348828</v>
      </c>
      <c r="D280" s="1101">
        <v>1.0341259142354511</v>
      </c>
      <c r="E280" s="1101">
        <v>1.0184521953075039</v>
      </c>
      <c r="F280" s="1101">
        <v>0.97501392403751486</v>
      </c>
      <c r="G280" s="1101">
        <v>1.0130217225800515</v>
      </c>
      <c r="H280" s="1101">
        <v>1.0195169141776157</v>
      </c>
      <c r="I280" s="1101">
        <v>1.0027649504622886</v>
      </c>
      <c r="K280">
        <v>1.1322192775472064</v>
      </c>
      <c r="L280">
        <v>0</v>
      </c>
      <c r="M280">
        <v>7.8553417393540271E-4</v>
      </c>
      <c r="N280">
        <v>7.6430831009127162E-2</v>
      </c>
      <c r="O280">
        <v>1.0353148295296304E-2</v>
      </c>
      <c r="P280">
        <v>1.3438838577089132E-2</v>
      </c>
      <c r="Q280">
        <v>4.5793981338139043E-4</v>
      </c>
      <c r="R280">
        <v>7.8382771349045158E-4</v>
      </c>
      <c r="S280">
        <v>7.3593523620599108E-2</v>
      </c>
      <c r="T280">
        <v>0.80576811522266667</v>
      </c>
      <c r="U280">
        <v>0</v>
      </c>
      <c r="V280">
        <v>9.29848776201678E-2</v>
      </c>
      <c r="W280">
        <v>4.9666161721841781E-2</v>
      </c>
      <c r="X280">
        <v>7.3942274800975734E-3</v>
      </c>
      <c r="Y280">
        <v>2.1333206473847007E-3</v>
      </c>
    </row>
    <row r="281" spans="1:25" x14ac:dyDescent="0.25">
      <c r="A281" s="1096"/>
      <c r="B281" s="1455">
        <v>31</v>
      </c>
      <c r="C281" s="1101">
        <v>0.98172497600448339</v>
      </c>
      <c r="D281" s="1101">
        <v>0.98753925307229828</v>
      </c>
      <c r="E281" s="1101">
        <v>0.96110745609228454</v>
      </c>
      <c r="F281" s="1101">
        <v>0.98856261811536994</v>
      </c>
      <c r="G281" s="1101">
        <v>1.0042229606278588</v>
      </c>
      <c r="H281" s="1101">
        <v>1.0019865066611833</v>
      </c>
      <c r="I281" s="1101">
        <v>0.9929582390608761</v>
      </c>
      <c r="K281">
        <v>1.1424822070771907</v>
      </c>
      <c r="L281">
        <v>0</v>
      </c>
      <c r="M281">
        <v>8.9019931547279832E-4</v>
      </c>
      <c r="N281">
        <v>7.2824197128553037E-2</v>
      </c>
      <c r="O281">
        <v>1.0581931264051731E-2</v>
      </c>
      <c r="P281">
        <v>1.3073162520320265E-2</v>
      </c>
      <c r="Q281">
        <v>4.4169617784092411E-4</v>
      </c>
      <c r="R281">
        <v>8.8823165137835746E-4</v>
      </c>
      <c r="S281">
        <v>7.4211084218754372E-2</v>
      </c>
      <c r="T281">
        <v>0.82073679797724308</v>
      </c>
      <c r="U281">
        <v>0</v>
      </c>
      <c r="V281">
        <v>9.273217001950454E-2</v>
      </c>
      <c r="W281">
        <v>4.8976893494864719E-2</v>
      </c>
      <c r="X281">
        <v>6.4887681905851204E-3</v>
      </c>
      <c r="Y281">
        <v>2.4174737495667054E-3</v>
      </c>
    </row>
    <row r="282" spans="1:25" x14ac:dyDescent="0.25">
      <c r="A282" s="1096"/>
      <c r="B282" s="1455">
        <v>32</v>
      </c>
      <c r="C282" s="1100">
        <v>1.0085362795896802</v>
      </c>
      <c r="D282" s="1100">
        <v>0.96284793120586465</v>
      </c>
      <c r="E282" s="1100">
        <v>1.0266293004615674</v>
      </c>
      <c r="F282" s="1100">
        <v>1.0107847262130234</v>
      </c>
      <c r="G282" s="1100">
        <v>1.0357565496817487</v>
      </c>
      <c r="H282" s="1100">
        <v>1.0273838312268602</v>
      </c>
      <c r="I282" s="1100">
        <v>0.977474061898429</v>
      </c>
      <c r="K282">
        <v>1.1646804153094992</v>
      </c>
      <c r="L282">
        <v>0</v>
      </c>
      <c r="M282">
        <v>7.8358765126480909E-4</v>
      </c>
      <c r="N282">
        <v>7.8146538249101255E-2</v>
      </c>
      <c r="O282">
        <v>1.0427040974242793E-2</v>
      </c>
      <c r="P282">
        <v>1.3922610567430219E-2</v>
      </c>
      <c r="Q282">
        <v>4.6496749772625712E-4</v>
      </c>
      <c r="R282">
        <v>7.818984537472332E-4</v>
      </c>
      <c r="S282">
        <v>7.3136335391833091E-2</v>
      </c>
      <c r="T282">
        <v>0.83478855130401386</v>
      </c>
      <c r="U282">
        <v>0</v>
      </c>
      <c r="V282">
        <v>9.3418175234775663E-2</v>
      </c>
      <c r="W282">
        <v>5.053918331370965E-2</v>
      </c>
      <c r="X282">
        <v>7.7106321358403852E-3</v>
      </c>
      <c r="Y282">
        <v>2.1280698383439631E-3</v>
      </c>
    </row>
    <row r="283" spans="1:25" x14ac:dyDescent="0.25">
      <c r="A283" s="1096"/>
      <c r="B283" s="1455">
        <v>33</v>
      </c>
      <c r="C283" s="1100">
        <v>1.024732222250242</v>
      </c>
      <c r="D283" s="1100">
        <v>1.0115024972365472</v>
      </c>
      <c r="E283" s="1100">
        <v>1.0105414209975878</v>
      </c>
      <c r="F283" s="1100">
        <v>0.99836684647728013</v>
      </c>
      <c r="G283" s="1100">
        <v>1.0082792104421057</v>
      </c>
      <c r="H283" s="1100">
        <v>0.96296441685653833</v>
      </c>
      <c r="I283" s="1100">
        <v>1.0242752222578451</v>
      </c>
      <c r="K283">
        <v>1.1367036505578827</v>
      </c>
      <c r="L283">
        <v>0</v>
      </c>
      <c r="M283">
        <v>7.3285276030284736E-4</v>
      </c>
      <c r="N283">
        <v>6.9613910638645929E-2</v>
      </c>
      <c r="O283">
        <v>1.0056736002884942E-2</v>
      </c>
      <c r="P283">
        <v>1.3580616659639463E-2</v>
      </c>
      <c r="Q283">
        <v>4.4133376736822693E-4</v>
      </c>
      <c r="R283">
        <v>7.3116724745867531E-4</v>
      </c>
      <c r="S283">
        <v>7.0919689003592454E-2</v>
      </c>
      <c r="T283">
        <v>0.82558653387317837</v>
      </c>
      <c r="U283">
        <v>0</v>
      </c>
      <c r="V283">
        <v>9.185295034884948E-2</v>
      </c>
      <c r="W283">
        <v>4.5447163751225907E-2</v>
      </c>
      <c r="X283">
        <v>7.2164058069777827E-3</v>
      </c>
      <c r="Y283">
        <v>1.9899962183641674E-3</v>
      </c>
    </row>
    <row r="284" spans="1:25" x14ac:dyDescent="0.25">
      <c r="A284" s="1096"/>
      <c r="B284" s="1455">
        <v>34</v>
      </c>
      <c r="C284" s="1100">
        <v>1.0025802813564404</v>
      </c>
      <c r="D284" s="1100">
        <v>1.0093868220357545</v>
      </c>
      <c r="E284" s="1100">
        <v>0.99383515090213481</v>
      </c>
      <c r="F284" s="1100">
        <v>0.99410165486961699</v>
      </c>
      <c r="G284" s="1100">
        <v>1.0115476337445408</v>
      </c>
      <c r="H284" s="1100">
        <v>0.96799221939845448</v>
      </c>
      <c r="I284" s="1100">
        <v>1.0059060798192507</v>
      </c>
      <c r="K284">
        <v>1.1372734374177396</v>
      </c>
      <c r="L284">
        <v>0</v>
      </c>
      <c r="M284">
        <v>7.8016847529883688E-4</v>
      </c>
      <c r="N284">
        <v>7.0462195514819401E-2</v>
      </c>
      <c r="O284">
        <v>1.0282115947639926E-2</v>
      </c>
      <c r="P284">
        <v>1.3395910666634999E-2</v>
      </c>
      <c r="Q284">
        <v>4.4371935462324106E-4</v>
      </c>
      <c r="R284">
        <v>7.7838345931670154E-4</v>
      </c>
      <c r="S284">
        <v>7.144880292226731E-2</v>
      </c>
      <c r="T284">
        <v>0.82315782209210631</v>
      </c>
      <c r="U284">
        <v>0</v>
      </c>
      <c r="V284">
        <v>9.2524732852651628E-2</v>
      </c>
      <c r="W284">
        <v>4.6459203376418817E-2</v>
      </c>
      <c r="X284">
        <v>6.9822165243376075E-3</v>
      </c>
      <c r="Y284">
        <v>2.1185031822216591E-3</v>
      </c>
    </row>
    <row r="285" spans="1:25" x14ac:dyDescent="0.25">
      <c r="A285" s="1096"/>
      <c r="B285" s="1455">
        <v>35</v>
      </c>
      <c r="C285" s="1100">
        <v>1.0286616858690063</v>
      </c>
      <c r="D285" s="1100">
        <v>0.97217186647002551</v>
      </c>
      <c r="E285" s="1100">
        <v>1.0024567123871508</v>
      </c>
      <c r="F285" s="1100">
        <v>0.98154495392424801</v>
      </c>
      <c r="G285" s="1100">
        <v>1.0120301481872347</v>
      </c>
      <c r="H285" s="1100">
        <v>1.0184855075112371</v>
      </c>
      <c r="I285" s="1100">
        <v>0.99522737667659777</v>
      </c>
      <c r="K285">
        <v>1.1320646965710499</v>
      </c>
      <c r="L285">
        <v>0</v>
      </c>
      <c r="M285">
        <v>7.9777281953055603E-4</v>
      </c>
      <c r="N285">
        <v>7.396227301545602E-2</v>
      </c>
      <c r="O285">
        <v>1.0175911273205229E-2</v>
      </c>
      <c r="P285">
        <v>1.3335838845415473E-2</v>
      </c>
      <c r="Q285">
        <v>4.4296228089923956E-4</v>
      </c>
      <c r="R285">
        <v>7.9603801734785535E-4</v>
      </c>
      <c r="S285">
        <v>7.22654812013791E-2</v>
      </c>
      <c r="T285">
        <v>0.81219958507230483</v>
      </c>
      <c r="U285">
        <v>0</v>
      </c>
      <c r="V285">
        <v>9.1919792285198254E-2</v>
      </c>
      <c r="W285">
        <v>4.8517360572075431E-2</v>
      </c>
      <c r="X285">
        <v>7.0806737579394933E-3</v>
      </c>
      <c r="Y285">
        <v>2.1665530693589694E-3</v>
      </c>
    </row>
    <row r="286" spans="1:25" x14ac:dyDescent="0.25">
      <c r="A286" s="1096"/>
      <c r="B286" s="1455">
        <v>36</v>
      </c>
      <c r="C286" s="1100">
        <v>1.0214372668820069</v>
      </c>
      <c r="D286" s="1100">
        <v>0.99604695345443583</v>
      </c>
      <c r="E286" s="1100">
        <v>1.0142499553648261</v>
      </c>
      <c r="F286" s="1100">
        <v>1.0434178692099325</v>
      </c>
      <c r="G286" s="1100">
        <v>1.0302993245666876</v>
      </c>
      <c r="H286" s="1100">
        <v>0.97002113757792319</v>
      </c>
      <c r="I286" s="1100">
        <v>0.9972165912394727</v>
      </c>
      <c r="K286">
        <v>1.1770940580939075</v>
      </c>
      <c r="L286">
        <v>0</v>
      </c>
      <c r="M286">
        <v>7.3945882057287454E-4</v>
      </c>
      <c r="N286">
        <v>7.1033319695163771E-2</v>
      </c>
      <c r="O286">
        <v>1.0152701454847859E-2</v>
      </c>
      <c r="P286">
        <v>1.4130409029674867E-2</v>
      </c>
      <c r="Q286">
        <v>4.4719775156497424E-4</v>
      </c>
      <c r="R286">
        <v>7.3777048654503007E-4</v>
      </c>
      <c r="S286">
        <v>7.0106033426555012E-2</v>
      </c>
      <c r="T286">
        <v>0.86258626508215641</v>
      </c>
      <c r="U286">
        <v>0</v>
      </c>
      <c r="V286">
        <v>9.2872748456941365E-2</v>
      </c>
      <c r="W286">
        <v>4.6272708972567911E-2</v>
      </c>
      <c r="X286">
        <v>7.4863945000624493E-3</v>
      </c>
      <c r="Y286">
        <v>2.0079680584000449E-3</v>
      </c>
    </row>
    <row r="287" spans="1:25" x14ac:dyDescent="0.25">
      <c r="A287" s="1096"/>
      <c r="B287" s="1455">
        <v>37</v>
      </c>
      <c r="C287" s="1100">
        <v>0.95145541114445342</v>
      </c>
      <c r="D287" s="1100">
        <v>1.0022584970232258</v>
      </c>
      <c r="E287" s="1100">
        <v>0.99315013001083952</v>
      </c>
      <c r="F287" s="1100">
        <v>1.0096961882420035</v>
      </c>
      <c r="G287" s="1100">
        <v>0.95633410514121553</v>
      </c>
      <c r="H287" s="1100">
        <v>1.0257439092321829</v>
      </c>
      <c r="I287" s="1100">
        <v>0.9968674601686347</v>
      </c>
      <c r="K287">
        <v>1.1703795123308782</v>
      </c>
      <c r="L287">
        <v>0</v>
      </c>
      <c r="M287">
        <v>8.7485047440276906E-4</v>
      </c>
      <c r="N287">
        <v>7.8860301194584551E-2</v>
      </c>
      <c r="O287">
        <v>1.0865131023175994E-2</v>
      </c>
      <c r="P287">
        <v>1.3630767324708332E-2</v>
      </c>
      <c r="Q287">
        <v>4.6855515687374506E-4</v>
      </c>
      <c r="R287">
        <v>8.7296152440153815E-4</v>
      </c>
      <c r="S287">
        <v>7.7342793902727885E-2</v>
      </c>
      <c r="T287">
        <v>0.83611668624605473</v>
      </c>
      <c r="U287">
        <v>0</v>
      </c>
      <c r="V287">
        <v>9.1491930466471888E-2</v>
      </c>
      <c r="W287">
        <v>5.2017772223801495E-2</v>
      </c>
      <c r="X287">
        <v>7.2115502447468015E-3</v>
      </c>
      <c r="Y287">
        <v>2.3759134977318079E-3</v>
      </c>
    </row>
    <row r="288" spans="1:25" x14ac:dyDescent="0.25">
      <c r="A288" s="1096"/>
      <c r="B288" s="1455">
        <v>38</v>
      </c>
      <c r="C288" s="1100">
        <v>0.96801425349167713</v>
      </c>
      <c r="D288" s="1100">
        <v>1.0211691781310044</v>
      </c>
      <c r="E288" s="1100">
        <v>1.0421710952615009</v>
      </c>
      <c r="F288" s="1100">
        <v>0.9630595808072272</v>
      </c>
      <c r="G288" s="1100">
        <v>1.0111988971114647</v>
      </c>
      <c r="H288" s="1100">
        <v>1.0112618943949119</v>
      </c>
      <c r="I288" s="1100">
        <v>0.97062786322507832</v>
      </c>
      <c r="K288">
        <v>1.1254047933163263</v>
      </c>
      <c r="L288">
        <v>0</v>
      </c>
      <c r="M288">
        <v>7.5986809100436932E-4</v>
      </c>
      <c r="N288">
        <v>7.9412041950128853E-2</v>
      </c>
      <c r="O288">
        <v>1.0616202255327242E-2</v>
      </c>
      <c r="P288">
        <v>1.3507241465047098E-2</v>
      </c>
      <c r="Q288">
        <v>4.8071541493769032E-4</v>
      </c>
      <c r="R288">
        <v>7.5820391160078481E-4</v>
      </c>
      <c r="S288">
        <v>7.2786428564983754E-2</v>
      </c>
      <c r="T288">
        <v>0.79439898707534362</v>
      </c>
      <c r="U288">
        <v>0</v>
      </c>
      <c r="V288">
        <v>9.3400611083923141E-2</v>
      </c>
      <c r="W288">
        <v>5.0897946466271951E-2</v>
      </c>
      <c r="X288">
        <v>7.8427021142396681E-3</v>
      </c>
      <c r="Y288">
        <v>2.0635811055250506E-3</v>
      </c>
    </row>
    <row r="289" spans="1:25" x14ac:dyDescent="0.25">
      <c r="A289" s="1096"/>
      <c r="B289" s="1455">
        <v>39</v>
      </c>
      <c r="C289" s="1100">
        <v>0.96029781192275687</v>
      </c>
      <c r="D289" s="1100">
        <v>1.015729775639143</v>
      </c>
      <c r="E289" s="1100">
        <v>1.028714308043601</v>
      </c>
      <c r="F289" s="1100">
        <v>1.0058267882962013</v>
      </c>
      <c r="G289" s="1100">
        <v>1.009725613996546</v>
      </c>
      <c r="H289" s="1100">
        <v>1.0153599990403064</v>
      </c>
      <c r="I289" s="1100">
        <v>1.0196269645576186</v>
      </c>
      <c r="K289">
        <v>1.1675917414991963</v>
      </c>
      <c r="L289">
        <v>0</v>
      </c>
      <c r="M289">
        <v>7.9265841749934652E-4</v>
      </c>
      <c r="N289">
        <v>7.954764186319202E-2</v>
      </c>
      <c r="O289">
        <v>1.0719812894942112E-2</v>
      </c>
      <c r="P289">
        <v>1.394664280101829E-2</v>
      </c>
      <c r="Q289">
        <v>4.7901061344425469E-4</v>
      </c>
      <c r="R289">
        <v>7.9092943099346336E-4</v>
      </c>
      <c r="S289">
        <v>7.7445489017446661E-2</v>
      </c>
      <c r="T289">
        <v>0.83055692042469542</v>
      </c>
      <c r="U289">
        <v>0</v>
      </c>
      <c r="V289">
        <v>9.3540997572291132E-2</v>
      </c>
      <c r="W289">
        <v>5.1382969454704636E-2</v>
      </c>
      <c r="X289">
        <v>7.8213366626186751E-3</v>
      </c>
      <c r="Y289">
        <v>2.1526491813473529E-3</v>
      </c>
    </row>
    <row r="290" spans="1:25" x14ac:dyDescent="0.25">
      <c r="A290" s="1096"/>
      <c r="B290" s="1455">
        <v>40</v>
      </c>
      <c r="C290" s="1100">
        <v>0.98971507448023377</v>
      </c>
      <c r="D290" s="1100">
        <v>1.0039101433448379</v>
      </c>
      <c r="E290" s="1100">
        <v>1.003330516605939</v>
      </c>
      <c r="F290" s="1100">
        <v>1.0220963523767161</v>
      </c>
      <c r="G290" s="1100">
        <v>1.0058409506339991</v>
      </c>
      <c r="H290" s="1100">
        <v>0.98181251583048257</v>
      </c>
      <c r="I290" s="1100">
        <v>1.0035159770551452</v>
      </c>
      <c r="K290">
        <v>1.1666627082815899</v>
      </c>
      <c r="L290">
        <v>0</v>
      </c>
      <c r="M290">
        <v>7.876750329364635E-4</v>
      </c>
      <c r="N290">
        <v>7.3213136424264677E-2</v>
      </c>
      <c r="O290">
        <v>1.0441598244583373E-2</v>
      </c>
      <c r="P290">
        <v>1.3821485228933672E-2</v>
      </c>
      <c r="Q290">
        <v>4.5492652324818667E-4</v>
      </c>
      <c r="R290">
        <v>7.8589821023781342E-4</v>
      </c>
      <c r="S290">
        <v>7.2988590935237865E-2</v>
      </c>
      <c r="T290">
        <v>0.84569563024117878</v>
      </c>
      <c r="U290">
        <v>0</v>
      </c>
      <c r="V290">
        <v>9.2603430940784437E-2</v>
      </c>
      <c r="W290">
        <v>4.8001067599109298E-2</v>
      </c>
      <c r="X290">
        <v>7.3056631099551158E-3</v>
      </c>
      <c r="Y290">
        <v>2.1389558569919502E-3</v>
      </c>
    </row>
    <row r="291" spans="1:25" x14ac:dyDescent="0.25">
      <c r="A291" s="1096"/>
      <c r="B291" s="1455">
        <v>41</v>
      </c>
      <c r="C291" s="1100">
        <v>0.98984242018498025</v>
      </c>
      <c r="D291" s="1100">
        <v>1.0202257577148985</v>
      </c>
      <c r="E291" s="1100">
        <v>0.99280572421267188</v>
      </c>
      <c r="F291" s="1100">
        <v>0.98326868505375753</v>
      </c>
      <c r="G291" s="1100">
        <v>0.99402877533086331</v>
      </c>
      <c r="H291" s="1100">
        <v>0.99867689842830265</v>
      </c>
      <c r="I291" s="1100">
        <v>1.0164690741783362</v>
      </c>
      <c r="K291">
        <v>1.1352072232258505</v>
      </c>
      <c r="L291">
        <v>0</v>
      </c>
      <c r="M291">
        <v>8.1351501685650621E-4</v>
      </c>
      <c r="N291">
        <v>7.3250834434239909E-2</v>
      </c>
      <c r="O291">
        <v>1.036969554082183E-2</v>
      </c>
      <c r="P291">
        <v>1.3293596503718889E-2</v>
      </c>
      <c r="Q291">
        <v>4.4703427789311723E-4</v>
      </c>
      <c r="R291">
        <v>8.1171089383584995E-4</v>
      </c>
      <c r="S291">
        <v>7.3997397028542494E-2</v>
      </c>
      <c r="T291">
        <v>0.81425490078306184</v>
      </c>
      <c r="U291">
        <v>0</v>
      </c>
      <c r="V291">
        <v>9.2093586355245713E-2</v>
      </c>
      <c r="W291">
        <v>4.8327606477134508E-2</v>
      </c>
      <c r="X291">
        <v>6.9651664756164196E-3</v>
      </c>
      <c r="Y291">
        <v>2.2092094725969435E-3</v>
      </c>
    </row>
    <row r="292" spans="1:25" x14ac:dyDescent="0.25">
      <c r="A292" s="1096"/>
      <c r="B292" s="1455">
        <v>42</v>
      </c>
      <c r="C292" s="1100">
        <v>1.0240514056333896</v>
      </c>
      <c r="D292" s="1100">
        <v>1.0099056179987549</v>
      </c>
      <c r="E292" s="1100">
        <v>0.97476333663480597</v>
      </c>
      <c r="F292" s="1100">
        <v>0.98821925143211331</v>
      </c>
      <c r="G292" s="1100">
        <v>1.010595391226693</v>
      </c>
      <c r="H292" s="1100">
        <v>0.98088265350687287</v>
      </c>
      <c r="I292" s="1100">
        <v>0.99008938666070179</v>
      </c>
      <c r="K292">
        <v>1.1276002244522418</v>
      </c>
      <c r="L292">
        <v>0</v>
      </c>
      <c r="M292">
        <v>8.0497133631673718E-4</v>
      </c>
      <c r="N292">
        <v>6.8629100777440777E-2</v>
      </c>
      <c r="O292">
        <v>1.0058407284070699E-2</v>
      </c>
      <c r="P292">
        <v>1.3119375774910454E-2</v>
      </c>
      <c r="Q292">
        <v>4.2575184086760415E-4</v>
      </c>
      <c r="R292">
        <v>8.0315377554939708E-4</v>
      </c>
      <c r="S292">
        <v>6.9316349197115212E-2</v>
      </c>
      <c r="T292">
        <v>0.81954429371049053</v>
      </c>
      <c r="U292">
        <v>0</v>
      </c>
      <c r="V292">
        <v>9.1963489583892402E-2</v>
      </c>
      <c r="W292">
        <v>4.5772885036858647E-2</v>
      </c>
      <c r="X292">
        <v>6.5864689898868303E-3</v>
      </c>
      <c r="Y292">
        <v>2.185919817474504E-3</v>
      </c>
    </row>
    <row r="293" spans="1:25" x14ac:dyDescent="0.25">
      <c r="A293" s="1096"/>
      <c r="B293" s="1455">
        <v>43</v>
      </c>
      <c r="C293" s="1100">
        <v>0.99997725684079519</v>
      </c>
      <c r="D293" s="1100">
        <v>0.99379499641355074</v>
      </c>
      <c r="E293" s="1100">
        <v>0.99314229648178476</v>
      </c>
      <c r="F293" s="1100">
        <v>0.97815126946838471</v>
      </c>
      <c r="G293" s="1100">
        <v>0.98050057752679698</v>
      </c>
      <c r="H293" s="1100">
        <v>1.0316487100368881</v>
      </c>
      <c r="I293" s="1100">
        <v>0.96820774397044584</v>
      </c>
      <c r="K293">
        <v>1.1321990375718904</v>
      </c>
      <c r="L293">
        <v>0</v>
      </c>
      <c r="M293">
        <v>8.4005025464342165E-4</v>
      </c>
      <c r="N293">
        <v>7.5722503299818805E-2</v>
      </c>
      <c r="O293">
        <v>1.0373047210947122E-2</v>
      </c>
      <c r="P293">
        <v>1.3201027932369651E-2</v>
      </c>
      <c r="Q293">
        <v>4.4733067061416139E-4</v>
      </c>
      <c r="R293">
        <v>8.3824682582134844E-4</v>
      </c>
      <c r="S293">
        <v>7.2018217880587709E-2</v>
      </c>
      <c r="T293">
        <v>0.80999524562015623</v>
      </c>
      <c r="U293">
        <v>0</v>
      </c>
      <c r="V293">
        <v>9.1261477109774447E-2</v>
      </c>
      <c r="W293">
        <v>4.9948254162066198E-2</v>
      </c>
      <c r="X293">
        <v>6.9523055824833738E-3</v>
      </c>
      <c r="Y293">
        <v>2.2814315318938436E-3</v>
      </c>
    </row>
    <row r="294" spans="1:25" x14ac:dyDescent="0.25">
      <c r="A294" s="1096"/>
      <c r="B294" s="1455">
        <v>44</v>
      </c>
      <c r="C294" s="1100">
        <v>0.97674531345284632</v>
      </c>
      <c r="D294" s="1100">
        <v>1.0341961659561552</v>
      </c>
      <c r="E294" s="1100">
        <v>1.0169792297026401</v>
      </c>
      <c r="F294" s="1100">
        <v>1.0110584615216489</v>
      </c>
      <c r="G294" s="1100">
        <v>0.97405227120726434</v>
      </c>
      <c r="H294" s="1100">
        <v>0.98743796597760114</v>
      </c>
      <c r="I294" s="1100">
        <v>1.0280277953748531</v>
      </c>
      <c r="K294">
        <v>1.1597210589767608</v>
      </c>
      <c r="L294">
        <v>0</v>
      </c>
      <c r="M294">
        <v>7.7104396588832203E-4</v>
      </c>
      <c r="N294">
        <v>7.4683001010212871E-2</v>
      </c>
      <c r="O294">
        <v>1.0459725591270352E-2</v>
      </c>
      <c r="P294">
        <v>1.383504550832094E-2</v>
      </c>
      <c r="Q294">
        <v>4.6197609549978897E-4</v>
      </c>
      <c r="R294">
        <v>7.6931456809984082E-4</v>
      </c>
      <c r="S294">
        <v>7.4869791123602744E-2</v>
      </c>
      <c r="T294">
        <v>0.83565367578917804</v>
      </c>
      <c r="U294">
        <v>0</v>
      </c>
      <c r="V294">
        <v>9.1579453210625494E-2</v>
      </c>
      <c r="W294">
        <v>4.8572304586531556E-2</v>
      </c>
      <c r="X294">
        <v>7.513994809417915E-3</v>
      </c>
      <c r="Y294">
        <v>2.0938206498885502E-3</v>
      </c>
    </row>
    <row r="295" spans="1:25" x14ac:dyDescent="0.25">
      <c r="A295" s="1096"/>
      <c r="B295" s="1455">
        <v>45</v>
      </c>
      <c r="C295" s="1100">
        <v>1.0128852438242288</v>
      </c>
      <c r="D295" s="1100">
        <v>1.0322633752208037</v>
      </c>
      <c r="E295" s="1100">
        <v>0.97132888912616566</v>
      </c>
      <c r="F295" s="1100">
        <v>1.0013255585834304</v>
      </c>
      <c r="G295" s="1100">
        <v>1.0072486666548486</v>
      </c>
      <c r="H295" s="1100">
        <v>0.99674490426307005</v>
      </c>
      <c r="I295" s="1100">
        <v>0.9966744991056784</v>
      </c>
      <c r="K295">
        <v>1.1419225511754261</v>
      </c>
      <c r="L295">
        <v>0</v>
      </c>
      <c r="M295">
        <v>8.2563063018348173E-4</v>
      </c>
      <c r="N295">
        <v>6.9664906924917863E-2</v>
      </c>
      <c r="O295">
        <v>1.0079519594639319E-2</v>
      </c>
      <c r="P295">
        <v>1.3248840006233518E-2</v>
      </c>
      <c r="Q295">
        <v>4.2515299972736397E-4</v>
      </c>
      <c r="R295">
        <v>8.2379608948701254E-4</v>
      </c>
      <c r="S295">
        <v>7.0379910866705989E-2</v>
      </c>
      <c r="T295">
        <v>0.83064421812424027</v>
      </c>
      <c r="U295">
        <v>0</v>
      </c>
      <c r="V295">
        <v>9.2086630324919427E-2</v>
      </c>
      <c r="W295">
        <v>4.6560717133871374E-2</v>
      </c>
      <c r="X295">
        <v>6.5923883495915773E-3</v>
      </c>
      <c r="Y295">
        <v>2.2421013912757339E-3</v>
      </c>
    </row>
    <row r="296" spans="1:25" x14ac:dyDescent="0.25">
      <c r="A296" s="1096"/>
      <c r="B296" s="1455">
        <v>46</v>
      </c>
      <c r="C296" s="1100">
        <v>1.0001497117848526</v>
      </c>
      <c r="D296" s="1100">
        <v>1.0370888411806376</v>
      </c>
      <c r="E296" s="1100">
        <v>0.98087440848317697</v>
      </c>
      <c r="F296" s="1100">
        <v>1.0145840255138181</v>
      </c>
      <c r="G296" s="1100">
        <v>0.99909489563205378</v>
      </c>
      <c r="H296" s="1100">
        <v>0.98216692992222654</v>
      </c>
      <c r="I296" s="1100">
        <v>1.0027537919306084</v>
      </c>
      <c r="K296">
        <v>1.153700272572159</v>
      </c>
      <c r="L296">
        <v>0</v>
      </c>
      <c r="M296">
        <v>8.0631612883534502E-4</v>
      </c>
      <c r="N296">
        <v>7.0027065851007625E-2</v>
      </c>
      <c r="O296">
        <v>1.019191010230313E-2</v>
      </c>
      <c r="P296">
        <v>1.3492152229251228E-2</v>
      </c>
      <c r="Q296">
        <v>4.340939222392113E-4</v>
      </c>
      <c r="R296">
        <v>8.0449791223778536E-4</v>
      </c>
      <c r="S296">
        <v>7.0964743123640733E-2</v>
      </c>
      <c r="T296">
        <v>0.84099404306851899</v>
      </c>
      <c r="U296">
        <v>0</v>
      </c>
      <c r="V296">
        <v>9.2050542893490878E-2</v>
      </c>
      <c r="W296">
        <v>4.6532949599980847E-2</v>
      </c>
      <c r="X296">
        <v>6.8250118838777034E-3</v>
      </c>
      <c r="Y296">
        <v>2.1895781144457577E-3</v>
      </c>
    </row>
    <row r="297" spans="1:25" x14ac:dyDescent="0.25">
      <c r="A297" s="1096"/>
      <c r="B297" s="1455">
        <v>47</v>
      </c>
      <c r="C297" s="1100">
        <v>0.99871750455702513</v>
      </c>
      <c r="D297" s="1100">
        <v>0.99122769505776276</v>
      </c>
      <c r="E297" s="1100">
        <v>1.0280495726361221</v>
      </c>
      <c r="F297" s="1100">
        <v>0.98514323760634182</v>
      </c>
      <c r="G297" s="1100">
        <v>1.0131550794856645</v>
      </c>
      <c r="H297" s="1100">
        <v>1.0347566799136396</v>
      </c>
      <c r="I297" s="1100">
        <v>1.0085080170290355</v>
      </c>
      <c r="K297">
        <v>1.1454080100480439</v>
      </c>
      <c r="L297">
        <v>0</v>
      </c>
      <c r="M297">
        <v>7.8543611750565303E-4</v>
      </c>
      <c r="N297">
        <v>7.8668254610646943E-2</v>
      </c>
      <c r="O297">
        <v>1.0408382028543123E-2</v>
      </c>
      <c r="P297">
        <v>1.3662247272104985E-2</v>
      </c>
      <c r="Q297">
        <v>4.6478860739431431E-4</v>
      </c>
      <c r="R297">
        <v>7.8375499947098981E-4</v>
      </c>
      <c r="S297">
        <v>7.5380554051970403E-2</v>
      </c>
      <c r="T297">
        <v>0.81352032445896283</v>
      </c>
      <c r="U297">
        <v>0</v>
      </c>
      <c r="V297">
        <v>9.2694196218805536E-2</v>
      </c>
      <c r="W297">
        <v>5.0834574730112478E-2</v>
      </c>
      <c r="X297">
        <v>7.643246443742562E-3</v>
      </c>
      <c r="Y297">
        <v>2.1331227437938961E-3</v>
      </c>
    </row>
    <row r="298" spans="1:25" x14ac:dyDescent="0.25">
      <c r="A298" s="1096"/>
      <c r="B298" s="1455">
        <v>48</v>
      </c>
      <c r="C298" s="1100">
        <v>1.018522101167866</v>
      </c>
      <c r="D298" s="1100">
        <v>0.9808854689672234</v>
      </c>
      <c r="E298" s="1100">
        <v>1.0173648439199261</v>
      </c>
      <c r="F298" s="1100">
        <v>0.98437744588329967</v>
      </c>
      <c r="G298" s="1100">
        <v>0.98333212656296975</v>
      </c>
      <c r="H298" s="1100">
        <v>1.0124142920879871</v>
      </c>
      <c r="I298" s="1100">
        <v>1.0383665521819321</v>
      </c>
      <c r="K298">
        <v>1.137610348302349</v>
      </c>
      <c r="L298">
        <v>0</v>
      </c>
      <c r="M298">
        <v>7.7372034460092298E-4</v>
      </c>
      <c r="N298">
        <v>7.503364514664583E-2</v>
      </c>
      <c r="O298">
        <v>1.0245433203959511E-2</v>
      </c>
      <c r="P298">
        <v>1.353484520139708E-2</v>
      </c>
      <c r="Q298">
        <v>4.5268519173564205E-4</v>
      </c>
      <c r="R298">
        <v>7.7202775632988587E-4</v>
      </c>
      <c r="S298">
        <v>7.5565271626145278E-2</v>
      </c>
      <c r="T298">
        <v>0.81357653123661966</v>
      </c>
      <c r="U298">
        <v>0</v>
      </c>
      <c r="V298">
        <v>9.0935151819127577E-2</v>
      </c>
      <c r="W298">
        <v>4.8789323538364598E-2</v>
      </c>
      <c r="X298">
        <v>7.377948872775748E-3</v>
      </c>
      <c r="Y298">
        <v>2.1012050538484726E-3</v>
      </c>
    </row>
    <row r="299" spans="1:25" x14ac:dyDescent="0.25">
      <c r="A299" s="1096"/>
      <c r="B299" s="1455">
        <v>49</v>
      </c>
      <c r="C299" s="1100">
        <v>0.97249977839356239</v>
      </c>
      <c r="D299" s="1100">
        <v>1.0246435010373909</v>
      </c>
      <c r="E299" s="1100">
        <v>1.0055093472155601</v>
      </c>
      <c r="F299" s="1100">
        <v>0.97930190604605039</v>
      </c>
      <c r="G299" s="1100">
        <v>0.9801893204641331</v>
      </c>
      <c r="H299" s="1100">
        <v>0.99274134184026586</v>
      </c>
      <c r="I299" s="1100">
        <v>0.98615622919328061</v>
      </c>
      <c r="K299">
        <v>1.1324083412335015</v>
      </c>
      <c r="L299">
        <v>0</v>
      </c>
      <c r="M299">
        <v>8.0031315456221511E-4</v>
      </c>
      <c r="N299">
        <v>7.4880822610629477E-2</v>
      </c>
      <c r="O299">
        <v>1.0540626297120182E-2</v>
      </c>
      <c r="P299">
        <v>1.3344189244653396E-2</v>
      </c>
      <c r="Q299">
        <v>4.602454753018026E-4</v>
      </c>
      <c r="R299">
        <v>7.9852769743957337E-4</v>
      </c>
      <c r="S299">
        <v>7.2681598872387426E-2</v>
      </c>
      <c r="T299">
        <v>0.81014599874850912</v>
      </c>
      <c r="U299">
        <v>0</v>
      </c>
      <c r="V299">
        <v>9.1950473235752617E-2</v>
      </c>
      <c r="W299">
        <v>4.9031146404021696E-2</v>
      </c>
      <c r="X299">
        <v>7.2016966444018986E-3</v>
      </c>
      <c r="Y299">
        <v>2.1733291578458036E-3</v>
      </c>
    </row>
    <row r="300" spans="1:25" x14ac:dyDescent="0.25">
      <c r="A300" s="1096"/>
      <c r="B300" s="1455">
        <v>50</v>
      </c>
      <c r="C300" s="1100">
        <v>1.0307930565977503</v>
      </c>
      <c r="D300" s="1100">
        <v>0.96141296095764872</v>
      </c>
      <c r="E300" s="1100">
        <v>0.98610747099404783</v>
      </c>
      <c r="F300" s="1100">
        <v>0.96786358865189948</v>
      </c>
      <c r="G300" s="1100">
        <v>1.0316891281088794</v>
      </c>
      <c r="H300" s="1100">
        <v>1.0148733298269477</v>
      </c>
      <c r="I300" s="1100">
        <v>1.0148856220568334</v>
      </c>
      <c r="K300">
        <v>1.1220440714342765</v>
      </c>
      <c r="L300">
        <v>0</v>
      </c>
      <c r="M300">
        <v>8.2430086674920174E-4</v>
      </c>
      <c r="N300">
        <v>7.2736532346170793E-2</v>
      </c>
      <c r="O300">
        <v>1.019490614216566E-2</v>
      </c>
      <c r="P300">
        <v>1.3065933389820761E-2</v>
      </c>
      <c r="Q300">
        <v>4.3653274966376574E-4</v>
      </c>
      <c r="R300">
        <v>8.2250199792708884E-4</v>
      </c>
      <c r="S300">
        <v>7.3795206270863445E-2</v>
      </c>
      <c r="T300">
        <v>0.80192920035222603</v>
      </c>
      <c r="U300">
        <v>0</v>
      </c>
      <c r="V300">
        <v>9.2708593358750133E-2</v>
      </c>
      <c r="W300">
        <v>4.8181324118952408E-2</v>
      </c>
      <c r="X300">
        <v>6.7590622738372044E-3</v>
      </c>
      <c r="Y300">
        <v>2.2385793006467888E-3</v>
      </c>
    </row>
    <row r="301" spans="1:25" x14ac:dyDescent="0.25">
      <c r="A301" s="1096"/>
      <c r="B301" s="1455">
        <v>51</v>
      </c>
      <c r="C301" s="1100">
        <v>0.98675703937258419</v>
      </c>
      <c r="D301" s="1100">
        <v>0.97954118237959564</v>
      </c>
      <c r="E301" s="1100">
        <v>0.9917471018371331</v>
      </c>
      <c r="F301" s="1100">
        <v>1.0011605869132636</v>
      </c>
      <c r="G301" s="1100">
        <v>0.98056015687102693</v>
      </c>
      <c r="H301" s="1100">
        <v>1.0244310793975653</v>
      </c>
      <c r="I301" s="1100">
        <v>0.97670917071034635</v>
      </c>
      <c r="K301">
        <v>1.1555688183843085</v>
      </c>
      <c r="L301">
        <v>0</v>
      </c>
      <c r="M301">
        <v>8.5270949684092593E-4</v>
      </c>
      <c r="N301">
        <v>7.653896134443694E-2</v>
      </c>
      <c r="O301">
        <v>1.0572476830459553E-2</v>
      </c>
      <c r="P301">
        <v>1.3476285523852244E-2</v>
      </c>
      <c r="Q301">
        <v>4.5528930141183066E-4</v>
      </c>
      <c r="R301">
        <v>8.5086599348713427E-4</v>
      </c>
      <c r="S301">
        <v>7.3875534051765987E-2</v>
      </c>
      <c r="T301">
        <v>0.82914180078388666</v>
      </c>
      <c r="U301">
        <v>0</v>
      </c>
      <c r="V301">
        <v>9.1595802640329849E-2</v>
      </c>
      <c r="W301">
        <v>5.0528941387590717E-2</v>
      </c>
      <c r="X301">
        <v>7.0697932775563759E-3</v>
      </c>
      <c r="Y301">
        <v>2.315776746372609E-3</v>
      </c>
    </row>
    <row r="302" spans="1:25" x14ac:dyDescent="0.25">
      <c r="A302" s="1096"/>
      <c r="B302" s="1455">
        <v>52</v>
      </c>
      <c r="C302" s="1100">
        <v>0.96155795296040847</v>
      </c>
      <c r="D302" s="1100">
        <v>0.98581182189882266</v>
      </c>
      <c r="E302" s="1100">
        <v>1.009093263659341</v>
      </c>
      <c r="F302" s="1100">
        <v>1.0014918163283562</v>
      </c>
      <c r="G302" s="1100">
        <v>0.98181518347410102</v>
      </c>
      <c r="H302" s="1100">
        <v>0.98853214702478387</v>
      </c>
      <c r="I302" s="1100">
        <v>1.0136679577977588</v>
      </c>
      <c r="K302">
        <v>1.1591699987618092</v>
      </c>
      <c r="L302">
        <v>0</v>
      </c>
      <c r="M302">
        <v>8.1247115436374449E-4</v>
      </c>
      <c r="N302">
        <v>7.6844783914048378E-2</v>
      </c>
      <c r="O302">
        <v>1.0827825270887534E-2</v>
      </c>
      <c r="P302">
        <v>1.3691253523904762E-2</v>
      </c>
      <c r="Q302">
        <v>4.7448510510719912E-4</v>
      </c>
      <c r="R302">
        <v>8.10650855358807E-4</v>
      </c>
      <c r="S302">
        <v>7.6896734469596842E-2</v>
      </c>
      <c r="T302">
        <v>0.8282662438575602</v>
      </c>
      <c r="U302">
        <v>0</v>
      </c>
      <c r="V302">
        <v>9.2310645118917636E-2</v>
      </c>
      <c r="W302">
        <v>5.0210675474078884E-2</v>
      </c>
      <c r="X302">
        <v>7.4428479294073417E-3</v>
      </c>
      <c r="Y302">
        <v>2.2063243973040234E-3</v>
      </c>
    </row>
    <row r="303" spans="1:25" x14ac:dyDescent="0.25">
      <c r="A303" s="1096"/>
      <c r="B303" s="1455">
        <v>53</v>
      </c>
      <c r="C303" s="1100">
        <v>1.0041444499860399</v>
      </c>
      <c r="D303" s="1100">
        <v>0.99685167476711534</v>
      </c>
      <c r="E303" s="1100">
        <v>0.98404034792754425</v>
      </c>
      <c r="F303" s="1100">
        <v>0.99720209771399348</v>
      </c>
      <c r="G303" s="1100">
        <v>1.023610194816714</v>
      </c>
      <c r="H303" s="1100">
        <v>0.97364831368601223</v>
      </c>
      <c r="I303" s="1100">
        <v>0.97760018962118977</v>
      </c>
      <c r="K303">
        <v>1.1396530391657544</v>
      </c>
      <c r="L303">
        <v>0</v>
      </c>
      <c r="M303">
        <v>8.0356484777071972E-4</v>
      </c>
      <c r="N303">
        <v>7.0458323391839925E-2</v>
      </c>
      <c r="O303">
        <v>1.031435224544673E-2</v>
      </c>
      <c r="P303">
        <v>1.3327395829184886E-2</v>
      </c>
      <c r="Q303">
        <v>4.4072295123050772E-4</v>
      </c>
      <c r="R303">
        <v>8.01736981613471E-4</v>
      </c>
      <c r="S303">
        <v>6.999123350143599E-2</v>
      </c>
      <c r="T303">
        <v>0.82637526506447967</v>
      </c>
      <c r="U303">
        <v>0</v>
      </c>
      <c r="V303">
        <v>9.3000784232593087E-2</v>
      </c>
      <c r="W303">
        <v>4.6730275887316194E-2</v>
      </c>
      <c r="X303">
        <v>6.8344501569575639E-3</v>
      </c>
      <c r="Y303">
        <v>2.1820637714269095E-3</v>
      </c>
    </row>
    <row r="304" spans="1:25" x14ac:dyDescent="0.25">
      <c r="A304" s="1096"/>
      <c r="B304" s="1455">
        <v>54</v>
      </c>
      <c r="C304" s="1100">
        <v>1.0034464068698736</v>
      </c>
      <c r="D304" s="1100">
        <v>0.97217170598276803</v>
      </c>
      <c r="E304" s="1100">
        <v>1.006219109431342</v>
      </c>
      <c r="F304" s="1100">
        <v>0.99275826831325009</v>
      </c>
      <c r="G304" s="1100">
        <v>0.97278195256734457</v>
      </c>
      <c r="H304" s="1100">
        <v>0.96191391860568565</v>
      </c>
      <c r="I304" s="1100">
        <v>1.0189532504024783</v>
      </c>
      <c r="K304">
        <v>1.1381409106700999</v>
      </c>
      <c r="L304">
        <v>0</v>
      </c>
      <c r="M304">
        <v>7.6638559659235523E-4</v>
      </c>
      <c r="N304">
        <v>7.1855123472136614E-2</v>
      </c>
      <c r="O304">
        <v>1.0432861108130834E-2</v>
      </c>
      <c r="P304">
        <v>1.3498979216939497E-2</v>
      </c>
      <c r="Q304">
        <v>4.5586408308816655E-4</v>
      </c>
      <c r="R304">
        <v>7.6462103548372983E-4</v>
      </c>
      <c r="S304">
        <v>7.3488233038590423E-2</v>
      </c>
      <c r="T304">
        <v>0.82123151310720643</v>
      </c>
      <c r="U304">
        <v>0</v>
      </c>
      <c r="V304">
        <v>9.0847935446190756E-2</v>
      </c>
      <c r="W304">
        <v>4.7030199630457126E-2</v>
      </c>
      <c r="X304">
        <v>7.2209197271386801E-3</v>
      </c>
      <c r="Y304">
        <v>2.0810464013301072E-3</v>
      </c>
    </row>
    <row r="305" spans="1:25" x14ac:dyDescent="0.25">
      <c r="A305" s="1096"/>
      <c r="B305" s="1455">
        <v>55</v>
      </c>
      <c r="C305" s="1100">
        <v>1.0122971903801363</v>
      </c>
      <c r="D305" s="1100">
        <v>0.99118816151989009</v>
      </c>
      <c r="E305" s="1100">
        <v>0.97228499159512616</v>
      </c>
      <c r="F305" s="1100">
        <v>0.96523602960645205</v>
      </c>
      <c r="G305" s="1100">
        <v>0.96937901931636095</v>
      </c>
      <c r="H305" s="1100">
        <v>0.96387544979341189</v>
      </c>
      <c r="I305" s="1100">
        <v>0.99910717332820087</v>
      </c>
      <c r="K305">
        <v>1.1084690027480801</v>
      </c>
      <c r="L305">
        <v>0</v>
      </c>
      <c r="M305">
        <v>8.103473039764124E-4</v>
      </c>
      <c r="N305">
        <v>6.8568330681886266E-2</v>
      </c>
      <c r="O305">
        <v>1.0250826773672863E-2</v>
      </c>
      <c r="P305">
        <v>1.2841694309834562E-2</v>
      </c>
      <c r="Q305">
        <v>4.3280102253050922E-4</v>
      </c>
      <c r="R305">
        <v>8.0848532037996188E-4</v>
      </c>
      <c r="S305">
        <v>7.0756442199008826E-2</v>
      </c>
      <c r="T305">
        <v>0.80064440414575311</v>
      </c>
      <c r="U305">
        <v>0</v>
      </c>
      <c r="V305">
        <v>9.0481210698824491E-2</v>
      </c>
      <c r="W305">
        <v>4.5801195663810017E-2</v>
      </c>
      <c r="X305">
        <v>6.4935287113941928E-3</v>
      </c>
      <c r="Y305">
        <v>2.2004305249600214E-3</v>
      </c>
    </row>
    <row r="306" spans="1:25" x14ac:dyDescent="0.25">
      <c r="A306" s="1096"/>
      <c r="B306" s="1455">
        <v>56</v>
      </c>
      <c r="C306" s="1100">
        <v>1.015861273304796</v>
      </c>
      <c r="D306" s="1100">
        <v>1.0144672436169346</v>
      </c>
      <c r="E306" s="1100">
        <v>0.98133757246703646</v>
      </c>
      <c r="F306" s="1100">
        <v>0.97619916697036113</v>
      </c>
      <c r="G306" s="1100">
        <v>1.0000390792156231</v>
      </c>
      <c r="H306" s="1100">
        <v>1.0301842441452842</v>
      </c>
      <c r="I306" s="1100">
        <v>1.0427189885872272</v>
      </c>
      <c r="K306">
        <v>1.1304736201195902</v>
      </c>
      <c r="L306">
        <v>0</v>
      </c>
      <c r="M306">
        <v>8.3922945601907833E-4</v>
      </c>
      <c r="N306">
        <v>7.2995419576488807E-2</v>
      </c>
      <c r="O306">
        <v>1.0123337433055855E-2</v>
      </c>
      <c r="P306">
        <v>1.3124909801147297E-2</v>
      </c>
      <c r="Q306">
        <v>4.3137617605173355E-4</v>
      </c>
      <c r="R306">
        <v>8.3742522812381198E-4</v>
      </c>
      <c r="S306">
        <v>7.5473306253148145E-2</v>
      </c>
      <c r="T306">
        <v>0.80914642129019199</v>
      </c>
      <c r="U306">
        <v>0</v>
      </c>
      <c r="V306">
        <v>9.1707857950761557E-2</v>
      </c>
      <c r="W306">
        <v>4.8491867444671509E-2</v>
      </c>
      <c r="X306">
        <v>6.7017330081682713E-3</v>
      </c>
      <c r="Y306">
        <v>2.2791954138007575E-3</v>
      </c>
    </row>
    <row r="307" spans="1:25" x14ac:dyDescent="0.25">
      <c r="A307" s="1096"/>
      <c r="B307" s="1455">
        <v>57</v>
      </c>
      <c r="C307" s="1100">
        <v>1.012837375643501</v>
      </c>
      <c r="D307" s="1100">
        <v>0.96993898849618299</v>
      </c>
      <c r="E307" s="1100">
        <v>0.99293544055970362</v>
      </c>
      <c r="F307" s="1100">
        <v>1.0300746351648875</v>
      </c>
      <c r="G307" s="1100">
        <v>0.98455804589752016</v>
      </c>
      <c r="H307" s="1100">
        <v>1.028504853562189</v>
      </c>
      <c r="I307" s="1100">
        <v>1.0227785536725746</v>
      </c>
      <c r="K307">
        <v>1.1789799693532854</v>
      </c>
      <c r="L307">
        <v>0</v>
      </c>
      <c r="M307">
        <v>8.352899934930809E-4</v>
      </c>
      <c r="N307">
        <v>7.5245851952489132E-2</v>
      </c>
      <c r="O307">
        <v>1.0341293753738417E-2</v>
      </c>
      <c r="P307">
        <v>1.3833216351383374E-2</v>
      </c>
      <c r="Q307">
        <v>4.4586824808161643E-4</v>
      </c>
      <c r="R307">
        <v>8.3349130270218624E-4</v>
      </c>
      <c r="S307">
        <v>7.5920403500627176E-2</v>
      </c>
      <c r="T307">
        <v>0.85300651202036537</v>
      </c>
      <c r="U307">
        <v>0</v>
      </c>
      <c r="V307">
        <v>9.1120290578564689E-2</v>
      </c>
      <c r="W307">
        <v>4.9639980495118988E-2</v>
      </c>
      <c r="X307">
        <v>7.1598625780865529E-3</v>
      </c>
      <c r="Y307">
        <v>2.2684885656212585E-3</v>
      </c>
    </row>
    <row r="308" spans="1:25" x14ac:dyDescent="0.25">
      <c r="A308" s="1096"/>
      <c r="B308" s="1455">
        <v>58</v>
      </c>
      <c r="C308" s="1100">
        <v>0.99451488233968066</v>
      </c>
      <c r="D308" s="1100">
        <v>1.0314023750803845</v>
      </c>
      <c r="E308" s="1100">
        <v>1.0095784170260214</v>
      </c>
      <c r="F308" s="1100">
        <v>1.0193750176895124</v>
      </c>
      <c r="G308" s="1100">
        <v>0.95387764968113753</v>
      </c>
      <c r="H308" s="1100">
        <v>0.98773954827482535</v>
      </c>
      <c r="I308" s="1100">
        <v>1.0108740876265676</v>
      </c>
      <c r="K308">
        <v>1.1602677295396933</v>
      </c>
      <c r="L308">
        <v>0</v>
      </c>
      <c r="M308">
        <v>7.7007397722942078E-4</v>
      </c>
      <c r="N308">
        <v>7.2941424428071042E-2</v>
      </c>
      <c r="O308">
        <v>1.0281546540066747E-2</v>
      </c>
      <c r="P308">
        <v>1.3808943308209065E-2</v>
      </c>
      <c r="Q308">
        <v>4.5076531504795929E-4</v>
      </c>
      <c r="R308">
        <v>7.6834728242315361E-4</v>
      </c>
      <c r="S308">
        <v>7.2409214666856583E-2</v>
      </c>
      <c r="T308">
        <v>0.84302363973882377</v>
      </c>
      <c r="U308">
        <v>0</v>
      </c>
      <c r="V308">
        <v>9.0262247975977497E-2</v>
      </c>
      <c r="W308">
        <v>4.7646565492649028E-2</v>
      </c>
      <c r="X308">
        <v>7.3539207516550801E-3</v>
      </c>
      <c r="Y308">
        <v>2.0911880171422459E-3</v>
      </c>
    </row>
    <row r="309" spans="1:25" x14ac:dyDescent="0.25">
      <c r="A309" s="1096"/>
      <c r="B309" s="1455">
        <v>59</v>
      </c>
      <c r="C309" s="1100">
        <v>0.96840300374805754</v>
      </c>
      <c r="D309" s="1100">
        <v>1.0141603753231214</v>
      </c>
      <c r="E309" s="1100">
        <v>1.024512201889014</v>
      </c>
      <c r="F309" s="1100">
        <v>0.96919689710795609</v>
      </c>
      <c r="G309" s="1100">
        <v>1.0099035233769145</v>
      </c>
      <c r="H309" s="1100">
        <v>0.9903144264066216</v>
      </c>
      <c r="I309" s="1100">
        <v>1.0013525710487452</v>
      </c>
      <c r="K309">
        <v>1.1288532048524664</v>
      </c>
      <c r="L309">
        <v>0</v>
      </c>
      <c r="M309">
        <v>7.7385294556810505E-4</v>
      </c>
      <c r="N309">
        <v>7.6678365693394215E-2</v>
      </c>
      <c r="O309">
        <v>1.0635250809868648E-2</v>
      </c>
      <c r="P309">
        <v>1.3442981224586519E-2</v>
      </c>
      <c r="Q309">
        <v>4.7325802634822129E-4</v>
      </c>
      <c r="R309">
        <v>7.7212228893108509E-4</v>
      </c>
      <c r="S309">
        <v>7.442736945434747E-2</v>
      </c>
      <c r="T309">
        <v>0.80057607080820903</v>
      </c>
      <c r="U309">
        <v>0</v>
      </c>
      <c r="V309">
        <v>9.3331755775928602E-2</v>
      </c>
      <c r="W309">
        <v>4.9650873942050311E-2</v>
      </c>
      <c r="X309">
        <v>7.5375474339437476E-3</v>
      </c>
      <c r="Y309">
        <v>2.1014623404262741E-3</v>
      </c>
    </row>
    <row r="310" spans="1:25" x14ac:dyDescent="0.25">
      <c r="A310" s="1096"/>
      <c r="B310" s="1455">
        <v>60</v>
      </c>
      <c r="C310" s="1100">
        <v>0.99681881188700516</v>
      </c>
      <c r="D310" s="1100">
        <v>0.99379257538930799</v>
      </c>
      <c r="E310" s="1100">
        <v>0.99675319551093444</v>
      </c>
      <c r="F310" s="1100">
        <v>1.0041087343527795</v>
      </c>
      <c r="G310" s="1100">
        <v>1.0033164405912647</v>
      </c>
      <c r="H310" s="1100">
        <v>1.0149012102595694</v>
      </c>
      <c r="I310" s="1100">
        <v>0.96925932983335272</v>
      </c>
      <c r="K310">
        <v>1.1533153137691563</v>
      </c>
      <c r="L310">
        <v>0</v>
      </c>
      <c r="M310">
        <v>8.2285093028790354E-4</v>
      </c>
      <c r="N310">
        <v>7.4983386395494733E-2</v>
      </c>
      <c r="O310">
        <v>1.0407112235971858E-2</v>
      </c>
      <c r="P310">
        <v>1.3535396656676022E-2</v>
      </c>
      <c r="Q310">
        <v>4.5043620686609242E-4</v>
      </c>
      <c r="R310">
        <v>8.2105527498687063E-4</v>
      </c>
      <c r="S310">
        <v>7.1665048388981911E-2</v>
      </c>
      <c r="T310">
        <v>0.83124967448882214</v>
      </c>
      <c r="U310">
        <v>0</v>
      </c>
      <c r="V310">
        <v>9.2316070696170621E-2</v>
      </c>
      <c r="W310">
        <v>4.9354257717515823E-2</v>
      </c>
      <c r="X310">
        <v>7.1210848402434622E-3</v>
      </c>
      <c r="Y310">
        <v>2.2346417977156048E-3</v>
      </c>
    </row>
    <row r="311" spans="1:25" x14ac:dyDescent="0.25">
      <c r="A311" s="1096"/>
      <c r="B311" s="1455">
        <v>61</v>
      </c>
      <c r="C311" s="1100">
        <v>1.001692915446843</v>
      </c>
      <c r="D311" s="1100">
        <v>0.98200681077820695</v>
      </c>
      <c r="E311" s="1100">
        <v>0.97980730062446364</v>
      </c>
      <c r="F311" s="1100">
        <v>0.97947045960524204</v>
      </c>
      <c r="G311" s="1100">
        <v>1.0217416062720714</v>
      </c>
      <c r="H311" s="1100">
        <v>1.0460901871275321</v>
      </c>
      <c r="I311" s="1100">
        <v>1.0077864049461276</v>
      </c>
      <c r="K311">
        <v>1.1405757793294915</v>
      </c>
      <c r="L311">
        <v>0</v>
      </c>
      <c r="M311">
        <v>8.7833160324779079E-4</v>
      </c>
      <c r="N311">
        <v>7.6046090543073125E-2</v>
      </c>
      <c r="O311">
        <v>1.0400445955324949E-2</v>
      </c>
      <c r="P311">
        <v>1.3169852523272962E-2</v>
      </c>
      <c r="Q311">
        <v>4.42495780145628E-4</v>
      </c>
      <c r="R311">
        <v>8.7647202285209011E-4</v>
      </c>
      <c r="S311">
        <v>7.5871191024706103E-2</v>
      </c>
      <c r="T311">
        <v>0.81195808562273242</v>
      </c>
      <c r="U311">
        <v>0</v>
      </c>
      <c r="V311">
        <v>9.2980756519868785E-2</v>
      </c>
      <c r="W311">
        <v>5.0565150538537662E-2</v>
      </c>
      <c r="X311">
        <v>6.7581024849469118E-3</v>
      </c>
      <c r="Y311">
        <v>2.3854679172787075E-3</v>
      </c>
    </row>
    <row r="312" spans="1:25" x14ac:dyDescent="0.25">
      <c r="A312" s="1096"/>
      <c r="B312" s="1455">
        <v>62</v>
      </c>
      <c r="C312" s="1100">
        <v>1.0167387469338307</v>
      </c>
      <c r="D312" s="1100">
        <v>1.0048889463236961</v>
      </c>
      <c r="E312" s="1100">
        <v>0.99426040983136843</v>
      </c>
      <c r="F312" s="1100">
        <v>1.0114637229397028</v>
      </c>
      <c r="G312" s="1100">
        <v>0.96810727436995414</v>
      </c>
      <c r="H312" s="1100">
        <v>1.0070935090934809</v>
      </c>
      <c r="I312" s="1100">
        <v>0.98924033862997263</v>
      </c>
      <c r="K312">
        <v>1.1523930425063103</v>
      </c>
      <c r="L312">
        <v>0</v>
      </c>
      <c r="M312">
        <v>8.0110454067227211E-4</v>
      </c>
      <c r="N312">
        <v>7.2452580567826608E-2</v>
      </c>
      <c r="O312">
        <v>1.0157198556094834E-2</v>
      </c>
      <c r="P312">
        <v>1.3558801205210105E-2</v>
      </c>
      <c r="Q312">
        <v>4.3851663736506899E-4</v>
      </c>
      <c r="R312">
        <v>7.9934278785627488E-4</v>
      </c>
      <c r="S312">
        <v>7.0991257603422425E-2</v>
      </c>
      <c r="T312">
        <v>0.83750578208506432</v>
      </c>
      <c r="U312">
        <v>0</v>
      </c>
      <c r="V312">
        <v>9.0323221692669403E-2</v>
      </c>
      <c r="W312">
        <v>4.7759432824396965E-2</v>
      </c>
      <c r="X312">
        <v>7.0324655218095451E-3</v>
      </c>
      <c r="Y312">
        <v>2.1755475652655816E-3</v>
      </c>
    </row>
    <row r="313" spans="1:25" x14ac:dyDescent="0.25">
      <c r="A313" s="1096"/>
      <c r="B313" s="1455">
        <v>63</v>
      </c>
      <c r="C313" s="1100">
        <v>1.0267984837026236</v>
      </c>
      <c r="D313" s="1100">
        <v>0.99679112326051189</v>
      </c>
      <c r="E313" s="1100">
        <v>0.9690008261636287</v>
      </c>
      <c r="F313" s="1100">
        <v>0.95896086465379182</v>
      </c>
      <c r="G313" s="1100">
        <v>0.99040907957474</v>
      </c>
      <c r="H313" s="1100">
        <v>1.0037761733733901</v>
      </c>
      <c r="I313" s="1100">
        <v>0.99280691529800014</v>
      </c>
      <c r="K313">
        <v>1.1061733553759328</v>
      </c>
      <c r="L313">
        <v>0</v>
      </c>
      <c r="M313">
        <v>8.3574845928960232E-4</v>
      </c>
      <c r="N313">
        <v>7.0024379711020227E-2</v>
      </c>
      <c r="O313">
        <v>1.008225208018294E-2</v>
      </c>
      <c r="P313">
        <v>1.274929752118387E-2</v>
      </c>
      <c r="Q313">
        <v>4.2425764301132207E-4</v>
      </c>
      <c r="R313">
        <v>8.3390444500958268E-4</v>
      </c>
      <c r="S313">
        <v>7.0683177060495553E-2</v>
      </c>
      <c r="T313">
        <v>0.79565077303431253</v>
      </c>
      <c r="U313">
        <v>0</v>
      </c>
      <c r="V313">
        <v>9.1034697603829942E-2</v>
      </c>
      <c r="W313">
        <v>4.6867324008942515E-2</v>
      </c>
      <c r="X313">
        <v>6.3894277244445283E-3</v>
      </c>
      <c r="Y313">
        <v>2.2696130027896658E-3</v>
      </c>
    </row>
    <row r="314" spans="1:25" x14ac:dyDescent="0.25">
      <c r="A314" s="1096"/>
      <c r="B314" s="1455">
        <v>64</v>
      </c>
      <c r="C314" s="1100">
        <v>0.99741064806900792</v>
      </c>
      <c r="D314" s="1100">
        <v>1.0126672116908466</v>
      </c>
      <c r="E314" s="1100">
        <v>0.98411784613974451</v>
      </c>
      <c r="F314" s="1100">
        <v>1.0406641343861116</v>
      </c>
      <c r="G314" s="1100">
        <v>0.99948256958232407</v>
      </c>
      <c r="H314" s="1100">
        <v>0.98092095555616288</v>
      </c>
      <c r="I314" s="1100">
        <v>1.0031956775746445</v>
      </c>
      <c r="K314">
        <v>1.1784651245031503</v>
      </c>
      <c r="L314">
        <v>0</v>
      </c>
      <c r="M314">
        <v>8.0978717714506225E-4</v>
      </c>
      <c r="N314">
        <v>7.1021757504647731E-2</v>
      </c>
      <c r="O314">
        <v>1.0318836490113569E-2</v>
      </c>
      <c r="P314">
        <v>1.3828923535951531E-2</v>
      </c>
      <c r="Q314">
        <v>4.4094921202577362E-4</v>
      </c>
      <c r="R314">
        <v>8.0795881399000865E-4</v>
      </c>
      <c r="S314">
        <v>7.2021061499807568E-2</v>
      </c>
      <c r="T314">
        <v>0.86238660745996565</v>
      </c>
      <c r="U314">
        <v>0</v>
      </c>
      <c r="V314">
        <v>9.2135592569819097E-2</v>
      </c>
      <c r="W314">
        <v>4.7101766832663435E-2</v>
      </c>
      <c r="X314">
        <v>7.0124602131819719E-3</v>
      </c>
      <c r="Y314">
        <v>2.1989975481293534E-3</v>
      </c>
    </row>
    <row r="315" spans="1:25" x14ac:dyDescent="0.25">
      <c r="A315" s="1096"/>
      <c r="B315" s="1455">
        <v>65</v>
      </c>
      <c r="C315" s="1100">
        <v>0.95312109450132998</v>
      </c>
      <c r="D315" s="1100">
        <v>0.99273819345901104</v>
      </c>
      <c r="E315" s="1100">
        <v>0.97720430968123628</v>
      </c>
      <c r="F315" s="1100">
        <v>1.0006846968112564</v>
      </c>
      <c r="G315" s="1100">
        <v>1.0060827953507279</v>
      </c>
      <c r="H315" s="1100">
        <v>0.96077347735515006</v>
      </c>
      <c r="I315" s="1100">
        <v>1.0287646240679111</v>
      </c>
      <c r="K315">
        <v>1.155845615571881</v>
      </c>
      <c r="L315">
        <v>0</v>
      </c>
      <c r="M315">
        <v>8.4868360978883762E-4</v>
      </c>
      <c r="N315">
        <v>7.2888932490150923E-2</v>
      </c>
      <c r="O315">
        <v>1.0882150754120216E-2</v>
      </c>
      <c r="P315">
        <v>1.3407312112805067E-2</v>
      </c>
      <c r="Q315">
        <v>4.6176599944179635E-4</v>
      </c>
      <c r="R315">
        <v>8.4672724252460752E-4</v>
      </c>
      <c r="S315">
        <v>7.7187402136960695E-2</v>
      </c>
      <c r="T315">
        <v>0.82971845203795436</v>
      </c>
      <c r="U315">
        <v>0</v>
      </c>
      <c r="V315">
        <v>9.3571112252543581E-2</v>
      </c>
      <c r="W315">
        <v>4.8542195172564806E-2</v>
      </c>
      <c r="X315">
        <v>6.8837365520117077E-3</v>
      </c>
      <c r="Y315">
        <v>2.304512430591499E-3</v>
      </c>
    </row>
    <row r="316" spans="1:25" x14ac:dyDescent="0.25">
      <c r="A316" s="1096"/>
      <c r="B316" s="1455">
        <v>66</v>
      </c>
      <c r="C316" s="1100">
        <v>0.95556967740599663</v>
      </c>
      <c r="D316" s="1100">
        <v>1.0173626978488541</v>
      </c>
      <c r="E316" s="1100">
        <v>1.0054984238640521</v>
      </c>
      <c r="F316" s="1100">
        <v>0.97742719976566961</v>
      </c>
      <c r="G316" s="1100">
        <v>0.97430290383384532</v>
      </c>
      <c r="H316" s="1100">
        <v>1.0084268131801957</v>
      </c>
      <c r="I316" s="1100">
        <v>1.0345319070415127</v>
      </c>
      <c r="K316">
        <v>1.1419551602667686</v>
      </c>
      <c r="L316">
        <v>0</v>
      </c>
      <c r="M316">
        <v>8.2974381470241466E-4</v>
      </c>
      <c r="N316">
        <v>7.7634623692834179E-2</v>
      </c>
      <c r="O316">
        <v>1.0758016575955664E-2</v>
      </c>
      <c r="P316">
        <v>1.3406271814343644E-2</v>
      </c>
      <c r="Q316">
        <v>4.697324535609781E-4</v>
      </c>
      <c r="R316">
        <v>8.2792149228847183E-4</v>
      </c>
      <c r="S316">
        <v>7.8568570773322077E-2</v>
      </c>
      <c r="T316">
        <v>0.8085958175188046</v>
      </c>
      <c r="U316">
        <v>0</v>
      </c>
      <c r="V316">
        <v>9.2150370751315921E-2</v>
      </c>
      <c r="W316">
        <v>5.0834633934240633E-2</v>
      </c>
      <c r="X316">
        <v>7.2856156970404051E-3</v>
      </c>
      <c r="Y316">
        <v>2.2533293777626372E-3</v>
      </c>
    </row>
    <row r="317" spans="1:25" x14ac:dyDescent="0.25">
      <c r="A317" s="1096"/>
      <c r="B317" s="1455">
        <v>67</v>
      </c>
      <c r="C317" s="1100">
        <v>1.0303503954500948</v>
      </c>
      <c r="D317" s="1100">
        <v>1.0271487053527704</v>
      </c>
      <c r="E317" s="1100">
        <v>1.0120755041346465</v>
      </c>
      <c r="F317" s="1100">
        <v>0.96092947696948972</v>
      </c>
      <c r="G317" s="1100">
        <v>0.98277205206957574</v>
      </c>
      <c r="H317" s="1100">
        <v>0.96697507213574463</v>
      </c>
      <c r="I317" s="1100">
        <v>1.0124335995733147</v>
      </c>
      <c r="K317">
        <v>1.1013530280669783</v>
      </c>
      <c r="L317">
        <v>0</v>
      </c>
      <c r="M317">
        <v>7.2509727014143576E-4</v>
      </c>
      <c r="N317">
        <v>6.9197582412719214E-2</v>
      </c>
      <c r="O317">
        <v>9.9411597831547162E-3</v>
      </c>
      <c r="P317">
        <v>1.3130171831078716E-2</v>
      </c>
      <c r="Q317">
        <v>4.3693082467629376E-4</v>
      </c>
      <c r="R317">
        <v>7.2343651131401396E-4</v>
      </c>
      <c r="S317">
        <v>6.9328741478235895E-2</v>
      </c>
      <c r="T317">
        <v>0.79453113065865666</v>
      </c>
      <c r="U317">
        <v>0</v>
      </c>
      <c r="V317">
        <v>9.0630956801045853E-2</v>
      </c>
      <c r="W317">
        <v>4.5134559884346913E-2</v>
      </c>
      <c r="X317">
        <v>7.0544994488758788E-3</v>
      </c>
      <c r="Y317">
        <v>1.9689557030148847E-3</v>
      </c>
    </row>
    <row r="318" spans="1:25" x14ac:dyDescent="0.25">
      <c r="A318" s="1096"/>
      <c r="B318" s="1455">
        <v>68</v>
      </c>
      <c r="C318" s="1100">
        <v>1.0128062717383206</v>
      </c>
      <c r="D318" s="1100">
        <v>0.98232164839831571</v>
      </c>
      <c r="E318" s="1100">
        <v>1.0049037677281014</v>
      </c>
      <c r="F318" s="1100">
        <v>0.9927527114938004</v>
      </c>
      <c r="G318" s="1100">
        <v>0.99775184064966305</v>
      </c>
      <c r="H318" s="1100">
        <v>0.98664917561518539</v>
      </c>
      <c r="I318" s="1100">
        <v>1.0113254052192904</v>
      </c>
      <c r="K318">
        <v>1.1396198963559896</v>
      </c>
      <c r="L318">
        <v>0</v>
      </c>
      <c r="M318">
        <v>7.7772013898268894E-4</v>
      </c>
      <c r="N318">
        <v>7.2632956979034075E-2</v>
      </c>
      <c r="O318">
        <v>1.0293163050384481E-2</v>
      </c>
      <c r="P318">
        <v>1.3490173732015784E-2</v>
      </c>
      <c r="Q318">
        <v>4.4916753823827171E-4</v>
      </c>
      <c r="R318">
        <v>7.7597437244166173E-4</v>
      </c>
      <c r="S318">
        <v>7.2888071100378274E-2</v>
      </c>
      <c r="T318">
        <v>0.82131313189575361</v>
      </c>
      <c r="U318">
        <v>0</v>
      </c>
      <c r="V318">
        <v>9.1686913960431063E-2</v>
      </c>
      <c r="W318">
        <v>4.757631905373582E-2</v>
      </c>
      <c r="X318">
        <v>7.179798370656282E-3</v>
      </c>
      <c r="Y318">
        <v>2.1119464419030753E-3</v>
      </c>
    </row>
    <row r="319" spans="1:25" x14ac:dyDescent="0.25">
      <c r="A319" s="1096"/>
      <c r="B319" s="1455">
        <v>69</v>
      </c>
      <c r="C319" s="1100">
        <v>1.0041865172112217</v>
      </c>
      <c r="D319" s="1100">
        <v>0.99418636842232178</v>
      </c>
      <c r="E319" s="1100">
        <v>1.0171820521089587</v>
      </c>
      <c r="F319" s="1100">
        <v>0.97906263638876123</v>
      </c>
      <c r="G319" s="1100">
        <v>0.98150690666674556</v>
      </c>
      <c r="H319" s="1100">
        <v>1.0081528728844609</v>
      </c>
      <c r="I319" s="1100">
        <v>0.99551946132658942</v>
      </c>
      <c r="K319">
        <v>1.1312787154498276</v>
      </c>
      <c r="L319">
        <v>0</v>
      </c>
      <c r="M319">
        <v>7.7755929553437306E-4</v>
      </c>
      <c r="N319">
        <v>7.5363660539261898E-2</v>
      </c>
      <c r="O319">
        <v>1.0335799603664831E-2</v>
      </c>
      <c r="P319">
        <v>1.3438090465467194E-2</v>
      </c>
      <c r="Q319">
        <v>4.56594844034104E-4</v>
      </c>
      <c r="R319">
        <v>7.7585111918919718E-4</v>
      </c>
      <c r="S319">
        <v>7.2802986463196454E-2</v>
      </c>
      <c r="T319">
        <v>0.80919565102976154</v>
      </c>
      <c r="U319">
        <v>0</v>
      </c>
      <c r="V319">
        <v>9.1204565973906734E-2</v>
      </c>
      <c r="W319">
        <v>4.9009162463577768E-2</v>
      </c>
      <c r="X319">
        <v>7.3623012561222605E-3</v>
      </c>
      <c r="Y319">
        <v>2.1116109871802905E-3</v>
      </c>
    </row>
    <row r="320" spans="1:25" x14ac:dyDescent="0.25">
      <c r="A320" s="1096"/>
      <c r="B320" s="1455">
        <v>70</v>
      </c>
      <c r="C320" s="1100">
        <v>0.99289138706546443</v>
      </c>
      <c r="D320" s="1100">
        <v>1.0245229537005429</v>
      </c>
      <c r="E320" s="1100">
        <v>1.0259832512685894</v>
      </c>
      <c r="F320" s="1100">
        <v>0.97880276649345899</v>
      </c>
      <c r="G320" s="1100">
        <v>0.96717907503834211</v>
      </c>
      <c r="H320" s="1100">
        <v>0.99898697792123448</v>
      </c>
      <c r="I320" s="1100">
        <v>0.96166986970825641</v>
      </c>
      <c r="K320">
        <v>1.1267037760623242</v>
      </c>
      <c r="L320">
        <v>0</v>
      </c>
      <c r="M320">
        <v>7.5596763997829125E-4</v>
      </c>
      <c r="N320">
        <v>7.524066944690018E-2</v>
      </c>
      <c r="O320">
        <v>1.0331333107242264E-2</v>
      </c>
      <c r="P320">
        <v>1.346633381005413E-2</v>
      </c>
      <c r="Q320">
        <v>4.6040487474127755E-4</v>
      </c>
      <c r="R320">
        <v>7.5429165949794511E-4</v>
      </c>
      <c r="S320">
        <v>6.9692265039947174E-2</v>
      </c>
      <c r="T320">
        <v>0.80841656361495118</v>
      </c>
      <c r="U320">
        <v>0</v>
      </c>
      <c r="V320">
        <v>9.0874667421994043E-2</v>
      </c>
      <c r="W320">
        <v>4.8678195050618732E-2</v>
      </c>
      <c r="X320">
        <v>7.4920864313789033E-3</v>
      </c>
      <c r="Y320">
        <v>2.0529332449746801E-3</v>
      </c>
    </row>
    <row r="321" spans="1:25" x14ac:dyDescent="0.25">
      <c r="A321" s="1096"/>
      <c r="B321" s="1455">
        <v>71</v>
      </c>
      <c r="C321" s="1100">
        <v>0.98037876388619338</v>
      </c>
      <c r="D321" s="1100">
        <v>0.97884526505853364</v>
      </c>
      <c r="E321" s="1100">
        <v>0.98916944096873938</v>
      </c>
      <c r="F321" s="1100">
        <v>1.042449559821583</v>
      </c>
      <c r="G321" s="1100">
        <v>0.96587122091600153</v>
      </c>
      <c r="H321" s="1100">
        <v>1.0211908925117497</v>
      </c>
      <c r="I321" s="1100">
        <v>0.97420726139265945</v>
      </c>
      <c r="K321">
        <v>1.1905380106299113</v>
      </c>
      <c r="L321">
        <v>0</v>
      </c>
      <c r="M321">
        <v>8.6036698812562038E-4</v>
      </c>
      <c r="N321">
        <v>7.6626273215428836E-2</v>
      </c>
      <c r="O321">
        <v>1.0643419539184937E-2</v>
      </c>
      <c r="P321">
        <v>1.3911060383802141E-2</v>
      </c>
      <c r="Q321">
        <v>4.5715203419473662E-4</v>
      </c>
      <c r="R321">
        <v>8.5850102789500056E-4</v>
      </c>
      <c r="S321">
        <v>7.4057532234409099E-2</v>
      </c>
      <c r="T321">
        <v>0.86351525591508094</v>
      </c>
      <c r="U321">
        <v>0</v>
      </c>
      <c r="V321">
        <v>9.1130658797377806E-2</v>
      </c>
      <c r="W321">
        <v>5.0664728883858964E-2</v>
      </c>
      <c r="X321">
        <v>7.1972387936621376E-3</v>
      </c>
      <c r="Y321">
        <v>2.3365567931424051E-3</v>
      </c>
    </row>
    <row r="322" spans="1:25" x14ac:dyDescent="0.25">
      <c r="A322" s="1096"/>
      <c r="B322" s="1455">
        <v>72</v>
      </c>
      <c r="C322" s="1100">
        <v>1.0228498209033527</v>
      </c>
      <c r="D322" s="1100">
        <v>1.0306628889907696</v>
      </c>
      <c r="E322" s="1100">
        <v>1.0086443212972092</v>
      </c>
      <c r="F322" s="1100">
        <v>1.0084624092148169</v>
      </c>
      <c r="G322" s="1100">
        <v>1.010674146241562</v>
      </c>
      <c r="H322" s="1100">
        <v>0.98766658212034286</v>
      </c>
      <c r="I322" s="1100">
        <v>1.0370308641284758</v>
      </c>
      <c r="K322">
        <v>1.1489064068108106</v>
      </c>
      <c r="L322">
        <v>0</v>
      </c>
      <c r="M322">
        <v>7.5035545661957469E-4</v>
      </c>
      <c r="N322">
        <v>7.0873513108248506E-2</v>
      </c>
      <c r="O322">
        <v>9.9993002717506264E-3</v>
      </c>
      <c r="P322">
        <v>1.3698064736369716E-2</v>
      </c>
      <c r="Q322">
        <v>4.379816651859772E-4</v>
      </c>
      <c r="R322">
        <v>7.4867285127757158E-4</v>
      </c>
      <c r="S322">
        <v>7.2247583735006671E-2</v>
      </c>
      <c r="T322">
        <v>0.83406099401919087</v>
      </c>
      <c r="U322">
        <v>0</v>
      </c>
      <c r="V322">
        <v>9.1999573539024021E-2</v>
      </c>
      <c r="W322">
        <v>4.6321296283801508E-2</v>
      </c>
      <c r="X322">
        <v>7.2321413563354179E-3</v>
      </c>
      <c r="Y322">
        <v>2.0376407012384556E-3</v>
      </c>
    </row>
    <row r="323" spans="1:25" x14ac:dyDescent="0.25">
      <c r="A323" s="1096"/>
      <c r="B323" s="1455">
        <v>73</v>
      </c>
      <c r="C323" s="1100">
        <v>1.0398460416459636</v>
      </c>
      <c r="D323" s="1100">
        <v>1.0383131300917328</v>
      </c>
      <c r="E323" s="1100">
        <v>0.97072899702198845</v>
      </c>
      <c r="F323" s="1100">
        <v>1.0177021111680375</v>
      </c>
      <c r="G323" s="1100">
        <v>0.96037275043139747</v>
      </c>
      <c r="H323" s="1100">
        <v>1.0159092473453919</v>
      </c>
      <c r="I323" s="1100">
        <v>0.95712060943260491</v>
      </c>
      <c r="K323">
        <v>1.1474614570841468</v>
      </c>
      <c r="L323">
        <v>0</v>
      </c>
      <c r="M323">
        <v>8.1878655002937898E-4</v>
      </c>
      <c r="N323">
        <v>6.8964948071746662E-2</v>
      </c>
      <c r="O323">
        <v>9.7950734226176488E-3</v>
      </c>
      <c r="P323">
        <v>1.3335312628585295E-2</v>
      </c>
      <c r="Q323">
        <v>4.1290199502718686E-4</v>
      </c>
      <c r="R323">
        <v>8.1700153710740091E-4</v>
      </c>
      <c r="S323">
        <v>6.6343511664603866E-2</v>
      </c>
      <c r="T323">
        <v>0.84427029000152798</v>
      </c>
      <c r="U323">
        <v>0</v>
      </c>
      <c r="V323">
        <v>8.9447472658148786E-2</v>
      </c>
      <c r="W323">
        <v>4.6109716357651542E-2</v>
      </c>
      <c r="X323">
        <v>6.5604064376370034E-3</v>
      </c>
      <c r="Y323">
        <v>2.2236088595220206E-3</v>
      </c>
    </row>
    <row r="324" spans="1:25" x14ac:dyDescent="0.25">
      <c r="A324" s="1096"/>
      <c r="B324" s="1455">
        <v>74</v>
      </c>
      <c r="C324" s="1100">
        <v>0.9903195292336392</v>
      </c>
      <c r="D324" s="1100">
        <v>0.98235710780602004</v>
      </c>
      <c r="E324" s="1100">
        <v>0.99848470162553904</v>
      </c>
      <c r="F324" s="1100">
        <v>0.98896305694252618</v>
      </c>
      <c r="G324" s="1100">
        <v>0.99934942353193812</v>
      </c>
      <c r="H324" s="1100">
        <v>1.0016798468718839</v>
      </c>
      <c r="I324" s="1100">
        <v>1.0046790201863909</v>
      </c>
      <c r="K324">
        <v>1.1435733326284285</v>
      </c>
      <c r="L324">
        <v>0</v>
      </c>
      <c r="M324">
        <v>8.1831118534961614E-4</v>
      </c>
      <c r="N324">
        <v>7.4958715870086359E-2</v>
      </c>
      <c r="O324">
        <v>1.0524596081909966E-2</v>
      </c>
      <c r="P324">
        <v>1.3421552479138166E-2</v>
      </c>
      <c r="Q324">
        <v>4.5631565336695385E-4</v>
      </c>
      <c r="R324">
        <v>8.165018664103357E-4</v>
      </c>
      <c r="S324">
        <v>7.4668956831425895E-2</v>
      </c>
      <c r="T324">
        <v>0.81859785093273596</v>
      </c>
      <c r="U324">
        <v>0</v>
      </c>
      <c r="V324">
        <v>9.2309878307507684E-2</v>
      </c>
      <c r="W324">
        <v>4.9287175798666857E-2</v>
      </c>
      <c r="X324">
        <v>7.1278510719272499E-3</v>
      </c>
      <c r="Y324">
        <v>2.2222489206010099E-3</v>
      </c>
    </row>
    <row r="325" spans="1:25" x14ac:dyDescent="0.25">
      <c r="A325" s="1096"/>
      <c r="B325" s="1455">
        <v>75</v>
      </c>
      <c r="C325" s="1100">
        <v>1.0007867993939914</v>
      </c>
      <c r="D325" s="1100">
        <v>0.99132889763139442</v>
      </c>
      <c r="E325" s="1100">
        <v>0.97782347027646865</v>
      </c>
      <c r="F325" s="1100">
        <v>0.97915378457486146</v>
      </c>
      <c r="G325" s="1100">
        <v>0.97046489687340121</v>
      </c>
      <c r="H325" s="1100">
        <v>1.0140423598864854</v>
      </c>
      <c r="I325" s="1100">
        <v>1.0154144738112625</v>
      </c>
      <c r="K325">
        <v>1.1325720939257529</v>
      </c>
      <c r="L325">
        <v>0</v>
      </c>
      <c r="M325">
        <v>8.5246862394878218E-4</v>
      </c>
      <c r="N325">
        <v>7.3360220766206824E-2</v>
      </c>
      <c r="O325">
        <v>1.0369946510701675E-2</v>
      </c>
      <c r="P325">
        <v>1.3104925626244384E-2</v>
      </c>
      <c r="Q325">
        <v>4.4030885140926209E-4</v>
      </c>
      <c r="R325">
        <v>8.5060676025256984E-4</v>
      </c>
      <c r="S325">
        <v>7.4816824976034799E-2</v>
      </c>
      <c r="T325">
        <v>0.81182550230125039</v>
      </c>
      <c r="U325">
        <v>0</v>
      </c>
      <c r="V325">
        <v>9.0809926971122432E-2</v>
      </c>
      <c r="W325">
        <v>4.8837763191590826E-2</v>
      </c>
      <c r="X325">
        <v>6.6934653959232612E-3</v>
      </c>
      <c r="Y325">
        <v>2.3150711989643373E-3</v>
      </c>
    </row>
    <row r="326" spans="1:25" x14ac:dyDescent="0.25">
      <c r="A326" s="1096"/>
      <c r="B326" s="1455">
        <v>76</v>
      </c>
      <c r="C326" s="1100">
        <v>0.9801865596668875</v>
      </c>
      <c r="D326" s="1100">
        <v>0.99281680608181855</v>
      </c>
      <c r="E326" s="1100">
        <v>0.98995735478699798</v>
      </c>
      <c r="F326" s="1100">
        <v>0.99143867872406499</v>
      </c>
      <c r="G326" s="1100">
        <v>1.017350090061921</v>
      </c>
      <c r="H326" s="1100">
        <v>1.0334644406845428</v>
      </c>
      <c r="I326" s="1100">
        <v>0.99103408686320504</v>
      </c>
      <c r="K326">
        <v>1.1518537869936163</v>
      </c>
      <c r="L326">
        <v>0</v>
      </c>
      <c r="M326">
        <v>8.6454344613722987E-4</v>
      </c>
      <c r="N326">
        <v>7.7183880809623226E-2</v>
      </c>
      <c r="O326">
        <v>1.0585591018525695E-2</v>
      </c>
      <c r="P326">
        <v>1.3393859112806885E-2</v>
      </c>
      <c r="Q326">
        <v>4.5503053400636819E-4</v>
      </c>
      <c r="R326">
        <v>8.6269069596336999E-4</v>
      </c>
      <c r="S326">
        <v>7.5313419878662052E-2</v>
      </c>
      <c r="T326">
        <v>0.82120830569507075</v>
      </c>
      <c r="U326">
        <v>0</v>
      </c>
      <c r="V326">
        <v>9.3336974615841381E-2</v>
      </c>
      <c r="W326">
        <v>5.1009324098655578E-2</v>
      </c>
      <c r="X326">
        <v>7.0212942920973602E-3</v>
      </c>
      <c r="Y326">
        <v>2.3479596885007991E-3</v>
      </c>
    </row>
    <row r="327" spans="1:25" x14ac:dyDescent="0.25">
      <c r="A327" s="1096"/>
      <c r="B327" s="1455">
        <v>77</v>
      </c>
      <c r="C327" s="1100">
        <v>0.99010772654593981</v>
      </c>
      <c r="D327" s="1100">
        <v>0.96672648384425097</v>
      </c>
      <c r="E327" s="1100">
        <v>1.0321424551846825</v>
      </c>
      <c r="F327" s="1100">
        <v>1.0152749787539943</v>
      </c>
      <c r="G327" s="1100">
        <v>1.0239141705831971</v>
      </c>
      <c r="H327" s="1100">
        <v>1.0167398251214097</v>
      </c>
      <c r="I327" s="1100">
        <v>0.99435019850042194</v>
      </c>
      <c r="K327">
        <v>1.1718410201137734</v>
      </c>
      <c r="L327">
        <v>0</v>
      </c>
      <c r="M327">
        <v>7.7962650546957186E-4</v>
      </c>
      <c r="N327">
        <v>7.9052780481122215E-2</v>
      </c>
      <c r="O327">
        <v>1.0605906078404004E-2</v>
      </c>
      <c r="P327">
        <v>1.4053314493795214E-2</v>
      </c>
      <c r="Q327">
        <v>4.7552938130073831E-4</v>
      </c>
      <c r="R327">
        <v>7.779282526722786E-4</v>
      </c>
      <c r="S327">
        <v>7.5193503107232731E-2</v>
      </c>
      <c r="T327">
        <v>0.83813172696591898</v>
      </c>
      <c r="U327">
        <v>0</v>
      </c>
      <c r="V327">
        <v>9.3370535312267744E-2</v>
      </c>
      <c r="W327">
        <v>5.0961840230493188E-2</v>
      </c>
      <c r="X327">
        <v>7.8803180562415122E-3</v>
      </c>
      <c r="Y327">
        <v>2.1172642597943698E-3</v>
      </c>
    </row>
    <row r="328" spans="1:25" x14ac:dyDescent="0.25">
      <c r="A328" s="1096"/>
      <c r="B328" s="1455">
        <v>78</v>
      </c>
      <c r="C328" s="1100">
        <v>0.97078537719592606</v>
      </c>
      <c r="D328" s="1100">
        <v>1.0077314072344818</v>
      </c>
      <c r="E328" s="1100">
        <v>0.99677748297981184</v>
      </c>
      <c r="F328" s="1100">
        <v>1.0095619243454867</v>
      </c>
      <c r="G328" s="1100">
        <v>0.98170875371422184</v>
      </c>
      <c r="H328" s="1100">
        <v>1.0082195936293694</v>
      </c>
      <c r="I328" s="1100">
        <v>1.0387510896419141</v>
      </c>
      <c r="K328">
        <v>1.1662117288032094</v>
      </c>
      <c r="L328">
        <v>0</v>
      </c>
      <c r="M328">
        <v>8.3464931164148413E-4</v>
      </c>
      <c r="N328">
        <v>7.606300968678599E-2</v>
      </c>
      <c r="O328">
        <v>1.0626835369396917E-2</v>
      </c>
      <c r="P328">
        <v>1.3679919477210855E-2</v>
      </c>
      <c r="Q328">
        <v>4.5995741915613893E-4</v>
      </c>
      <c r="R328">
        <v>8.3281583878774509E-4</v>
      </c>
      <c r="S328">
        <v>7.8012011051775368E-2</v>
      </c>
      <c r="T328">
        <v>0.83576246247825037</v>
      </c>
      <c r="U328">
        <v>0</v>
      </c>
      <c r="V328">
        <v>9.2058916521381387E-2</v>
      </c>
      <c r="W328">
        <v>5.0064144006969666E-2</v>
      </c>
      <c r="X328">
        <v>7.219656089622513E-3</v>
      </c>
      <c r="Y328">
        <v>2.2666501755127699E-3</v>
      </c>
    </row>
    <row r="329" spans="1:25" x14ac:dyDescent="0.25">
      <c r="A329" s="1096"/>
      <c r="B329" s="1455">
        <v>79</v>
      </c>
      <c r="C329" s="1100">
        <v>0.99235255576012504</v>
      </c>
      <c r="D329" s="1100">
        <v>1.0218937695333297</v>
      </c>
      <c r="E329" s="1100">
        <v>0.96689255528620388</v>
      </c>
      <c r="F329" s="1100">
        <v>1.0093602169157869</v>
      </c>
      <c r="G329" s="1100">
        <v>0.99613471302965062</v>
      </c>
      <c r="H329" s="1100">
        <v>0.99202268427490481</v>
      </c>
      <c r="I329" s="1100">
        <v>0.96561873001125254</v>
      </c>
      <c r="K329">
        <v>1.1506140307699027</v>
      </c>
      <c r="L329">
        <v>0</v>
      </c>
      <c r="M329">
        <v>8.4986219250835057E-4</v>
      </c>
      <c r="N329">
        <v>7.0751887839708871E-2</v>
      </c>
      <c r="O329">
        <v>1.0328263459857552E-2</v>
      </c>
      <c r="P329">
        <v>1.3288639904231016E-2</v>
      </c>
      <c r="Q329">
        <v>4.3367314937025893E-4</v>
      </c>
      <c r="R329">
        <v>8.479648205222389E-4</v>
      </c>
      <c r="S329">
        <v>6.9768840898837711E-2</v>
      </c>
      <c r="T329">
        <v>0.83761025562904112</v>
      </c>
      <c r="U329">
        <v>0</v>
      </c>
      <c r="V329">
        <v>9.2116709916088738E-2</v>
      </c>
      <c r="W329">
        <v>4.7415146845631723E-2</v>
      </c>
      <c r="X329">
        <v>6.5946297891872454E-3</v>
      </c>
      <c r="Y329">
        <v>2.3078807099335746E-3</v>
      </c>
    </row>
    <row r="330" spans="1:25" x14ac:dyDescent="0.25">
      <c r="A330" s="1096"/>
      <c r="B330" s="1455">
        <v>80</v>
      </c>
      <c r="C330" s="1100">
        <v>1.0009330188782404</v>
      </c>
      <c r="D330" s="1100">
        <v>0.9795612548697048</v>
      </c>
      <c r="E330" s="1100">
        <v>1.0020143827796786</v>
      </c>
      <c r="F330" s="1100">
        <v>1.0159984197617313</v>
      </c>
      <c r="G330" s="1100">
        <v>0.99887876166447154</v>
      </c>
      <c r="H330" s="1100">
        <v>1.0301492961719561</v>
      </c>
      <c r="I330" s="1100">
        <v>1.0163044577058216</v>
      </c>
      <c r="K330">
        <v>1.1698794615680532</v>
      </c>
      <c r="L330">
        <v>0</v>
      </c>
      <c r="M330">
        <v>8.2751389588353065E-4</v>
      </c>
      <c r="N330">
        <v>7.6619046156183271E-2</v>
      </c>
      <c r="O330">
        <v>1.0426039422318756E-2</v>
      </c>
      <c r="P330">
        <v>1.377395260076697E-2</v>
      </c>
      <c r="Q330">
        <v>4.5364898171995882E-4</v>
      </c>
      <c r="R330">
        <v>8.257347944768509E-4</v>
      </c>
      <c r="S330">
        <v>7.603163626205714E-2</v>
      </c>
      <c r="T330">
        <v>0.84073853516230534</v>
      </c>
      <c r="U330">
        <v>0</v>
      </c>
      <c r="V330">
        <v>9.2024934516820089E-2</v>
      </c>
      <c r="W330">
        <v>5.0273327493056998E-2</v>
      </c>
      <c r="X330">
        <v>7.2927421670668955E-3</v>
      </c>
      <c r="Y330">
        <v>2.2473779071641451E-3</v>
      </c>
    </row>
    <row r="331" spans="1:25" x14ac:dyDescent="0.25">
      <c r="A331" s="1096"/>
      <c r="B331" s="1455">
        <v>81</v>
      </c>
      <c r="C331" s="1100">
        <v>0.99647817841504505</v>
      </c>
      <c r="D331" s="1100">
        <v>1.0411655574301022</v>
      </c>
      <c r="E331" s="1100">
        <v>1.0091976063225609</v>
      </c>
      <c r="F331" s="1100">
        <v>0.97761297990696505</v>
      </c>
      <c r="G331" s="1100">
        <v>0.98991964591958514</v>
      </c>
      <c r="H331" s="1100">
        <v>0.97400512863734723</v>
      </c>
      <c r="I331" s="1100">
        <v>0.97844284813281968</v>
      </c>
      <c r="K331">
        <v>1.1207076555470916</v>
      </c>
      <c r="L331">
        <v>0</v>
      </c>
      <c r="M331">
        <v>7.556168429274445E-4</v>
      </c>
      <c r="N331">
        <v>7.1487538500327505E-2</v>
      </c>
      <c r="O331">
        <v>1.0222568676018411E-2</v>
      </c>
      <c r="P331">
        <v>1.3305989706481405E-2</v>
      </c>
      <c r="Q331">
        <v>4.4800896239250397E-4</v>
      </c>
      <c r="R331">
        <v>7.5389867359076284E-4</v>
      </c>
      <c r="S331">
        <v>6.907033066341485E-2</v>
      </c>
      <c r="T331">
        <v>0.80851094784280564</v>
      </c>
      <c r="U331">
        <v>0</v>
      </c>
      <c r="V331">
        <v>9.1753770620223898E-2</v>
      </c>
      <c r="W331">
        <v>4.6707354995856702E-2</v>
      </c>
      <c r="X331">
        <v>7.1510000820243086E-3</v>
      </c>
      <c r="Y331">
        <v>2.0518636668830992E-3</v>
      </c>
    </row>
    <row r="332" spans="1:25" x14ac:dyDescent="0.25">
      <c r="A332" s="1096"/>
      <c r="B332" s="1455">
        <v>82</v>
      </c>
      <c r="C332" s="1100">
        <v>1.045916389399284</v>
      </c>
      <c r="D332" s="1100">
        <v>1.0290892925016828</v>
      </c>
      <c r="E332" s="1100">
        <v>1.0178815461417143</v>
      </c>
      <c r="F332" s="1100">
        <v>0.97081158935845302</v>
      </c>
      <c r="G332" s="1100">
        <v>1.0324501408654703</v>
      </c>
      <c r="H332" s="1100">
        <v>1.0202073819271049</v>
      </c>
      <c r="I332" s="1100">
        <v>0.99278030219829061</v>
      </c>
      <c r="K332">
        <v>1.1156643954449474</v>
      </c>
      <c r="L332">
        <v>0</v>
      </c>
      <c r="M332">
        <v>7.4402419935645108E-4</v>
      </c>
      <c r="N332">
        <v>7.2267569682010313E-2</v>
      </c>
      <c r="O332">
        <v>9.7876182863087472E-3</v>
      </c>
      <c r="P332">
        <v>1.3313326445597712E-2</v>
      </c>
      <c r="Q332">
        <v>4.3267954512924691E-4</v>
      </c>
      <c r="R332">
        <v>7.4240900727261488E-4</v>
      </c>
      <c r="S332">
        <v>6.8945214526225748E-2</v>
      </c>
      <c r="T332">
        <v>0.8023315850970163</v>
      </c>
      <c r="U332">
        <v>0</v>
      </c>
      <c r="V332">
        <v>9.2397145111110857E-2</v>
      </c>
      <c r="W332">
        <v>4.6976501408767905E-2</v>
      </c>
      <c r="X332">
        <v>7.193777952131125E-3</v>
      </c>
      <c r="Y332">
        <v>2.0205925827325847E-3</v>
      </c>
    </row>
    <row r="333" spans="1:25" x14ac:dyDescent="0.25">
      <c r="A333" s="1096"/>
      <c r="B333" s="1455">
        <v>83</v>
      </c>
      <c r="C333" s="1100">
        <v>1.022164604271822</v>
      </c>
      <c r="D333" s="1100">
        <v>1.0004076737047194</v>
      </c>
      <c r="E333" s="1100">
        <v>0.97612004368470184</v>
      </c>
      <c r="F333" s="1100">
        <v>1.0233631339973823</v>
      </c>
      <c r="G333" s="1100">
        <v>0.97714280461166625</v>
      </c>
      <c r="H333" s="1100">
        <v>0.9996881272178697</v>
      </c>
      <c r="I333" s="1100">
        <v>0.98065155455411257</v>
      </c>
      <c r="K333">
        <v>1.1594413537893091</v>
      </c>
      <c r="L333">
        <v>0</v>
      </c>
      <c r="M333">
        <v>8.2272151446832178E-4</v>
      </c>
      <c r="N333">
        <v>7.0434037284608939E-2</v>
      </c>
      <c r="O333">
        <v>1.0115566768867809E-2</v>
      </c>
      <c r="P333">
        <v>1.35105236553799E-2</v>
      </c>
      <c r="Q333">
        <v>4.2876362345778239E-4</v>
      </c>
      <c r="R333">
        <v>8.2089881990552924E-4</v>
      </c>
      <c r="S333">
        <v>6.9852599777458127E-2</v>
      </c>
      <c r="T333">
        <v>0.84859659355601225</v>
      </c>
      <c r="U333">
        <v>0</v>
      </c>
      <c r="V333">
        <v>9.0577568748745521E-2</v>
      </c>
      <c r="W333">
        <v>4.6938098672813518E-2</v>
      </c>
      <c r="X333">
        <v>6.7552084179671309E-3</v>
      </c>
      <c r="Y333">
        <v>2.2342159785595965E-3</v>
      </c>
    </row>
    <row r="334" spans="1:25" x14ac:dyDescent="0.25">
      <c r="A334" s="1096"/>
      <c r="B334" s="1455">
        <v>84</v>
      </c>
      <c r="C334" s="1100">
        <v>1.0296532018873041</v>
      </c>
      <c r="D334" s="1100">
        <v>0.99417781623798196</v>
      </c>
      <c r="E334" s="1100">
        <v>1.0035990106250929</v>
      </c>
      <c r="F334" s="1100">
        <v>0.97977034822413656</v>
      </c>
      <c r="G334" s="1100">
        <v>1.0320358469910387</v>
      </c>
      <c r="H334" s="1100">
        <v>1.0041855415314467</v>
      </c>
      <c r="I334" s="1100">
        <v>1.0371025539863705</v>
      </c>
      <c r="K334">
        <v>1.1299144533962349</v>
      </c>
      <c r="L334">
        <v>0</v>
      </c>
      <c r="M334">
        <v>7.7696596493781976E-4</v>
      </c>
      <c r="N334">
        <v>7.227997666943993E-2</v>
      </c>
      <c r="O334">
        <v>1.0075861490976046E-2</v>
      </c>
      <c r="P334">
        <v>1.3358342741074574E-2</v>
      </c>
      <c r="Q334">
        <v>4.3911012639896561E-4</v>
      </c>
      <c r="R334">
        <v>7.7525234854219406E-4</v>
      </c>
      <c r="S334">
        <v>7.3789256419142843E-2</v>
      </c>
      <c r="T334">
        <v>0.81065716511611263</v>
      </c>
      <c r="U334">
        <v>0</v>
      </c>
      <c r="V334">
        <v>9.2752004828751761E-2</v>
      </c>
      <c r="W334">
        <v>4.7381714709847172E-2</v>
      </c>
      <c r="X334">
        <v>7.0727535800201666E-3</v>
      </c>
      <c r="Y334">
        <v>2.1099813308638389E-3</v>
      </c>
    </row>
    <row r="335" spans="1:25" x14ac:dyDescent="0.25">
      <c r="A335" s="1096"/>
      <c r="B335" s="1455">
        <v>85</v>
      </c>
      <c r="C335" s="1100">
        <v>0.98644747102546515</v>
      </c>
      <c r="D335" s="1100">
        <v>1.0217193914065783</v>
      </c>
      <c r="E335" s="1100">
        <v>1.0047674408300749</v>
      </c>
      <c r="F335" s="1100">
        <v>1.0060109219495039</v>
      </c>
      <c r="G335" s="1100">
        <v>1.0069860364462133</v>
      </c>
      <c r="H335" s="1100">
        <v>0.97906297911217155</v>
      </c>
      <c r="I335" s="1100">
        <v>1.0365009815303157</v>
      </c>
      <c r="K335">
        <v>1.1543358128825161</v>
      </c>
      <c r="L335">
        <v>0</v>
      </c>
      <c r="M335">
        <v>7.802169303802336E-4</v>
      </c>
      <c r="N335">
        <v>7.2834873246626852E-2</v>
      </c>
      <c r="O335">
        <v>1.040323068327843E-2</v>
      </c>
      <c r="P335">
        <v>1.3680092013444396E-2</v>
      </c>
      <c r="Q335">
        <v>4.539085721345395E-4</v>
      </c>
      <c r="R335">
        <v>7.7845198886453875E-4</v>
      </c>
      <c r="S335">
        <v>7.4841840376308755E-2</v>
      </c>
      <c r="T335">
        <v>0.83229082536952892</v>
      </c>
      <c r="U335">
        <v>0</v>
      </c>
      <c r="V335">
        <v>9.2735556048275838E-2</v>
      </c>
      <c r="W335">
        <v>4.7712430056854264E-2</v>
      </c>
      <c r="X335">
        <v>7.2661317605194993E-3</v>
      </c>
      <c r="Y335">
        <v>2.1186896970601127E-3</v>
      </c>
    </row>
    <row r="336" spans="1:25" x14ac:dyDescent="0.25">
      <c r="A336" s="1096"/>
      <c r="B336" s="1455">
        <v>86</v>
      </c>
      <c r="C336" s="1100">
        <v>0.96843356399581015</v>
      </c>
      <c r="D336" s="1100">
        <v>1.0050340495434849</v>
      </c>
      <c r="E336" s="1100">
        <v>1.0189891721064142</v>
      </c>
      <c r="F336" s="1100">
        <v>1.0226831595977872</v>
      </c>
      <c r="G336" s="1100">
        <v>0.983822639927318</v>
      </c>
      <c r="H336" s="1100">
        <v>1.0308223872612228</v>
      </c>
      <c r="I336" s="1100">
        <v>1.0132540258759632</v>
      </c>
      <c r="K336">
        <v>1.1812771644894067</v>
      </c>
      <c r="L336">
        <v>0</v>
      </c>
      <c r="M336">
        <v>8.1774491758336413E-4</v>
      </c>
      <c r="N336">
        <v>7.9695778915931784E-2</v>
      </c>
      <c r="O336">
        <v>1.0671570058483805E-2</v>
      </c>
      <c r="P336">
        <v>1.4029918522444226E-2</v>
      </c>
      <c r="Q336">
        <v>4.7227645171725132E-4</v>
      </c>
      <c r="R336">
        <v>8.1598796682600598E-4</v>
      </c>
      <c r="S336">
        <v>7.7374701491644715E-2</v>
      </c>
      <c r="T336">
        <v>0.84512675981009622</v>
      </c>
      <c r="U336">
        <v>0</v>
      </c>
      <c r="V336">
        <v>9.2215264887390638E-2</v>
      </c>
      <c r="W336">
        <v>5.1771501544523653E-2</v>
      </c>
      <c r="X336">
        <v>7.7002995025919566E-3</v>
      </c>
      <c r="Y336">
        <v>2.2208502553394171E-3</v>
      </c>
    </row>
    <row r="337" spans="1:25" x14ac:dyDescent="0.25">
      <c r="A337" s="1096"/>
      <c r="B337" s="1455">
        <v>87</v>
      </c>
      <c r="C337" s="1100">
        <v>1.0030836021850398</v>
      </c>
      <c r="D337" s="1100">
        <v>1.0285623488182476</v>
      </c>
      <c r="E337" s="1100">
        <v>1.033448763115189</v>
      </c>
      <c r="F337" s="1100">
        <v>0.99972290885888548</v>
      </c>
      <c r="G337" s="1100">
        <v>0.99905547224515756</v>
      </c>
      <c r="H337" s="1100">
        <v>0.98511954811289471</v>
      </c>
      <c r="I337" s="1100">
        <v>1.0059804501910303</v>
      </c>
      <c r="K337">
        <v>1.1441867748044792</v>
      </c>
      <c r="L337">
        <v>0</v>
      </c>
      <c r="M337">
        <v>7.2536659087699172E-4</v>
      </c>
      <c r="N337">
        <v>7.3835896861318542E-2</v>
      </c>
      <c r="O337">
        <v>1.0212693651122552E-2</v>
      </c>
      <c r="P337">
        <v>1.3814574754475409E-2</v>
      </c>
      <c r="Q337">
        <v>4.5849006794789577E-4</v>
      </c>
      <c r="R337">
        <v>7.2373581533374505E-4</v>
      </c>
      <c r="S337">
        <v>7.146618927246437E-2</v>
      </c>
      <c r="T337">
        <v>0.82520808103212884</v>
      </c>
      <c r="U337">
        <v>0</v>
      </c>
      <c r="V337">
        <v>9.1984518675258448E-2</v>
      </c>
      <c r="W337">
        <v>4.7562745008023467E-2</v>
      </c>
      <c r="X337">
        <v>7.675445947391577E-3</v>
      </c>
      <c r="Y337">
        <v>1.9697703098910486E-3</v>
      </c>
    </row>
    <row r="338" spans="1:25" x14ac:dyDescent="0.25">
      <c r="A338" s="1096"/>
      <c r="B338" s="1455">
        <v>88</v>
      </c>
      <c r="C338" s="1100">
        <v>1.0181755964459851</v>
      </c>
      <c r="D338" s="1100">
        <v>0.98297873782214096</v>
      </c>
      <c r="E338" s="1100">
        <v>1.0147889086672832</v>
      </c>
      <c r="F338" s="1100">
        <v>0.97947509916767594</v>
      </c>
      <c r="G338" s="1100">
        <v>0.99153491140832251</v>
      </c>
      <c r="H338" s="1100">
        <v>1.0286647254770229</v>
      </c>
      <c r="I338" s="1100">
        <v>0.98978367396457068</v>
      </c>
      <c r="K338">
        <v>1.1326902413597977</v>
      </c>
      <c r="L338">
        <v>0</v>
      </c>
      <c r="M338">
        <v>7.8995677496149891E-4</v>
      </c>
      <c r="N338">
        <v>7.6017661759535865E-2</v>
      </c>
      <c r="O338">
        <v>1.0239348425936433E-2</v>
      </c>
      <c r="P338">
        <v>1.3419952982011407E-2</v>
      </c>
      <c r="Q338">
        <v>4.5125675327839949E-4</v>
      </c>
      <c r="R338">
        <v>7.882559678677397E-4</v>
      </c>
      <c r="S338">
        <v>7.2619766529491897E-2</v>
      </c>
      <c r="T338">
        <v>0.80969052310502609</v>
      </c>
      <c r="U338">
        <v>0</v>
      </c>
      <c r="V338">
        <v>9.1293626377119255E-2</v>
      </c>
      <c r="W338">
        <v>4.9503942651181902E-2</v>
      </c>
      <c r="X338">
        <v>7.3104906872832921E-3</v>
      </c>
      <c r="Y338">
        <v>2.145372896026016E-3</v>
      </c>
    </row>
    <row r="339" spans="1:25" x14ac:dyDescent="0.25">
      <c r="A339" s="1096"/>
      <c r="B339" s="1455">
        <v>89</v>
      </c>
      <c r="C339" s="1100">
        <v>1.014924971200994</v>
      </c>
      <c r="D339" s="1100">
        <v>1.0179673060624597</v>
      </c>
      <c r="E339" s="1100">
        <v>1.011287823863313</v>
      </c>
      <c r="F339" s="1100">
        <v>1.0086551946034092</v>
      </c>
      <c r="G339" s="1100">
        <v>0.96574445521662067</v>
      </c>
      <c r="H339" s="1100">
        <v>0.97780319888133815</v>
      </c>
      <c r="I339" s="1100">
        <v>1.024515306863639</v>
      </c>
      <c r="K339">
        <v>1.1476307155988235</v>
      </c>
      <c r="L339">
        <v>0</v>
      </c>
      <c r="M339">
        <v>7.4826272819324407E-4</v>
      </c>
      <c r="N339">
        <v>7.1240535934654736E-2</v>
      </c>
      <c r="O339">
        <v>1.0128310839242821E-2</v>
      </c>
      <c r="P339">
        <v>1.3697356865299361E-2</v>
      </c>
      <c r="Q339">
        <v>4.4480637939375671E-4</v>
      </c>
      <c r="R339">
        <v>7.4656789001972541E-4</v>
      </c>
      <c r="S339">
        <v>7.1993056080748907E-2</v>
      </c>
      <c r="T339">
        <v>0.83404477322171866</v>
      </c>
      <c r="U339">
        <v>0</v>
      </c>
      <c r="V339">
        <v>9.0268607255904493E-2</v>
      </c>
      <c r="W339">
        <v>4.6488648500050522E-2</v>
      </c>
      <c r="X339">
        <v>7.2944036693882199E-3</v>
      </c>
      <c r="Y339">
        <v>2.0319116905948894E-3</v>
      </c>
    </row>
    <row r="340" spans="1:25" x14ac:dyDescent="0.25">
      <c r="A340" s="1096"/>
      <c r="B340" s="1455">
        <v>90</v>
      </c>
      <c r="C340" s="1100">
        <v>1.0139838193829283</v>
      </c>
      <c r="D340" s="1100">
        <v>1.0092252047625165</v>
      </c>
      <c r="E340" s="1100">
        <v>1.0446648622886685</v>
      </c>
      <c r="F340" s="1100">
        <v>0.98703788396586989</v>
      </c>
      <c r="G340" s="1100">
        <v>0.99143606307737164</v>
      </c>
      <c r="H340" s="1100">
        <v>0.99873551344377665</v>
      </c>
      <c r="I340" s="1100">
        <v>0.96292166282812874</v>
      </c>
      <c r="K340">
        <v>1.1320641048018785</v>
      </c>
      <c r="L340">
        <v>0</v>
      </c>
      <c r="M340">
        <v>7.1607477208527888E-4</v>
      </c>
      <c r="N340">
        <v>7.5397376843797284E-2</v>
      </c>
      <c r="O340">
        <v>1.0183526065663868E-2</v>
      </c>
      <c r="P340">
        <v>1.3724332895044713E-2</v>
      </c>
      <c r="Q340">
        <v>4.622532644919838E-4</v>
      </c>
      <c r="R340">
        <v>7.1448683438995097E-4</v>
      </c>
      <c r="S340">
        <v>6.8871896244046979E-2</v>
      </c>
      <c r="T340">
        <v>0.81401847568038987</v>
      </c>
      <c r="U340">
        <v>0</v>
      </c>
      <c r="V340">
        <v>9.1395205586537895E-2</v>
      </c>
      <c r="W340">
        <v>4.8255635196069353E-2</v>
      </c>
      <c r="X340">
        <v>7.8123933308430274E-3</v>
      </c>
      <c r="Y340">
        <v>1.9445976326877899E-3</v>
      </c>
    </row>
    <row r="341" spans="1:25" x14ac:dyDescent="0.25">
      <c r="A341" s="1096"/>
      <c r="B341" s="1455">
        <v>91</v>
      </c>
      <c r="C341" s="1100">
        <v>0.97926556316401037</v>
      </c>
      <c r="D341" s="1100">
        <v>0.96540828466886541</v>
      </c>
      <c r="E341" s="1100">
        <v>0.98393911179608484</v>
      </c>
      <c r="F341" s="1100">
        <v>0.99602785031764152</v>
      </c>
      <c r="G341" s="1100">
        <v>0.96408869338097958</v>
      </c>
      <c r="H341" s="1100">
        <v>0.99818977650853702</v>
      </c>
      <c r="I341" s="1100">
        <v>0.98758712702427687</v>
      </c>
      <c r="K341">
        <v>1.1497833463013791</v>
      </c>
      <c r="L341">
        <v>0</v>
      </c>
      <c r="M341">
        <v>8.5582786110779692E-4</v>
      </c>
      <c r="N341">
        <v>7.5022088483440663E-2</v>
      </c>
      <c r="O341">
        <v>1.0712826953526442E-2</v>
      </c>
      <c r="P341">
        <v>1.3351416144878231E-2</v>
      </c>
      <c r="Q341">
        <v>4.5770242157196938E-4</v>
      </c>
      <c r="R341">
        <v>8.5392897515818944E-4</v>
      </c>
      <c r="S341">
        <v>7.4731365421832729E-2</v>
      </c>
      <c r="T341">
        <v>0.82540890139509326</v>
      </c>
      <c r="U341">
        <v>0</v>
      </c>
      <c r="V341">
        <v>9.1082276445324142E-2</v>
      </c>
      <c r="W341">
        <v>4.9760146979608288E-2</v>
      </c>
      <c r="X341">
        <v>6.9344077692831893E-3</v>
      </c>
      <c r="Y341">
        <v>2.3241131727695847E-3</v>
      </c>
    </row>
    <row r="342" spans="1:25" x14ac:dyDescent="0.25">
      <c r="A342" s="1096"/>
      <c r="B342" s="1455">
        <v>92</v>
      </c>
      <c r="C342" s="1100">
        <v>0.9977349561682326</v>
      </c>
      <c r="D342" s="1100">
        <v>0.99960262562220192</v>
      </c>
      <c r="E342" s="1100">
        <v>0.98852506169712384</v>
      </c>
      <c r="F342" s="1100">
        <v>0.99577000603851273</v>
      </c>
      <c r="G342" s="1100">
        <v>1.0353350114511997</v>
      </c>
      <c r="H342" s="1100">
        <v>0.99367581571769015</v>
      </c>
      <c r="I342" s="1100">
        <v>1.0017482755253202</v>
      </c>
      <c r="K342">
        <v>1.1454539144195803</v>
      </c>
      <c r="L342">
        <v>0</v>
      </c>
      <c r="M342">
        <v>8.168350757836874E-4</v>
      </c>
      <c r="N342">
        <v>7.2603243649503185E-2</v>
      </c>
      <c r="O342">
        <v>1.037064368880101E-2</v>
      </c>
      <c r="P342">
        <v>1.3400918830311165E-2</v>
      </c>
      <c r="Q342">
        <v>4.4514566073964814E-4</v>
      </c>
      <c r="R342">
        <v>8.1501447285742756E-4</v>
      </c>
      <c r="S342">
        <v>7.2901710788299379E-2</v>
      </c>
      <c r="T342">
        <v>0.82489086289134772</v>
      </c>
      <c r="U342">
        <v>0</v>
      </c>
      <c r="V342">
        <v>9.3661209569231671E-2</v>
      </c>
      <c r="W342">
        <v>4.8023282684436029E-2</v>
      </c>
      <c r="X342">
        <v>6.9405165341662328E-3</v>
      </c>
      <c r="Y342">
        <v>2.2182007256691468E-3</v>
      </c>
    </row>
    <row r="343" spans="1:25" x14ac:dyDescent="0.25">
      <c r="A343" s="1096"/>
      <c r="B343" s="1455">
        <v>93</v>
      </c>
      <c r="C343" s="1100">
        <v>0.9680415207895593</v>
      </c>
      <c r="D343" s="1100">
        <v>1.0048805586754528</v>
      </c>
      <c r="E343" s="1100">
        <v>1.0319001711646696</v>
      </c>
      <c r="F343" s="1100">
        <v>1.0160076931635016</v>
      </c>
      <c r="G343" s="1100">
        <v>0.9884830795326992</v>
      </c>
      <c r="H343" s="1100">
        <v>0.96213523306441118</v>
      </c>
      <c r="I343" s="1100">
        <v>1.0465207675298696</v>
      </c>
      <c r="K343">
        <v>1.1670990477045324</v>
      </c>
      <c r="L343">
        <v>0</v>
      </c>
      <c r="M343">
        <v>7.4335512378434011E-4</v>
      </c>
      <c r="N343">
        <v>7.5310568947259543E-2</v>
      </c>
      <c r="O343">
        <v>1.068091772828535E-2</v>
      </c>
      <c r="P343">
        <v>1.4070927500130968E-2</v>
      </c>
      <c r="Q343">
        <v>4.7877804928441435E-4</v>
      </c>
      <c r="R343">
        <v>7.4164398277993811E-4</v>
      </c>
      <c r="S343">
        <v>7.6953689684731735E-2</v>
      </c>
      <c r="T343">
        <v>0.83875264040159703</v>
      </c>
      <c r="U343">
        <v>0</v>
      </c>
      <c r="V343">
        <v>9.2427276601386263E-2</v>
      </c>
      <c r="W343">
        <v>4.8556219185726938E-2</v>
      </c>
      <c r="X343">
        <v>7.8512303088809077E-3</v>
      </c>
      <c r="Y343">
        <v>2.0185104382537743E-3</v>
      </c>
    </row>
    <row r="344" spans="1:25" x14ac:dyDescent="0.25">
      <c r="A344" s="1096"/>
      <c r="B344" s="1455">
        <v>94</v>
      </c>
      <c r="C344" s="1100">
        <v>0.99894849664211494</v>
      </c>
      <c r="D344" s="1100">
        <v>1.0177115823995788</v>
      </c>
      <c r="E344" s="1100">
        <v>1.0056103068994104</v>
      </c>
      <c r="F344" s="1100">
        <v>0.98531331148615153</v>
      </c>
      <c r="G344" s="1100">
        <v>1.0113109756557432</v>
      </c>
      <c r="H344" s="1100">
        <v>0.99241495982963701</v>
      </c>
      <c r="I344" s="1100">
        <v>0.97166975960362245</v>
      </c>
      <c r="K344">
        <v>1.1319928123275964</v>
      </c>
      <c r="L344">
        <v>0</v>
      </c>
      <c r="M344">
        <v>7.8082150022623707E-4</v>
      </c>
      <c r="N344">
        <v>7.3079322113445686E-2</v>
      </c>
      <c r="O344">
        <v>1.0289480450834118E-2</v>
      </c>
      <c r="P344">
        <v>1.3384695854617856E-2</v>
      </c>
      <c r="Q344">
        <v>4.4932490970240452E-4</v>
      </c>
      <c r="R344">
        <v>7.7907895507924269E-4</v>
      </c>
      <c r="S344">
        <v>6.9948431259627589E-2</v>
      </c>
      <c r="T344">
        <v>0.81511247951325105</v>
      </c>
      <c r="U344">
        <v>0</v>
      </c>
      <c r="V344">
        <v>9.2606148775866495E-2</v>
      </c>
      <c r="W344">
        <v>4.7848684842612718E-2</v>
      </c>
      <c r="X344">
        <v>7.1555910603678741E-3</v>
      </c>
      <c r="Y344">
        <v>2.1203960924171786E-3</v>
      </c>
    </row>
    <row r="345" spans="1:25" x14ac:dyDescent="0.25">
      <c r="A345" s="1096"/>
      <c r="B345" s="1455">
        <v>95</v>
      </c>
      <c r="C345" s="1100">
        <v>1.0150073545586136</v>
      </c>
      <c r="D345" s="1100">
        <v>1.0239800180268173</v>
      </c>
      <c r="E345" s="1100">
        <v>1.0077915004135132</v>
      </c>
      <c r="F345" s="1100">
        <v>1.0004387982205478</v>
      </c>
      <c r="G345" s="1100">
        <v>1.0027424289206464</v>
      </c>
      <c r="H345" s="1100">
        <v>1.0143894826978772</v>
      </c>
      <c r="I345" s="1100">
        <v>1.040456145640456</v>
      </c>
      <c r="K345">
        <v>1.1487928900493964</v>
      </c>
      <c r="L345">
        <v>0</v>
      </c>
      <c r="M345">
        <v>7.8001583108192301E-4</v>
      </c>
      <c r="N345">
        <v>7.348991349717976E-2</v>
      </c>
      <c r="O345">
        <v>1.0102541242159369E-2</v>
      </c>
      <c r="P345">
        <v>1.3626570487237061E-2</v>
      </c>
      <c r="Q345">
        <v>4.4212629642866166E-4</v>
      </c>
      <c r="R345">
        <v>7.7831279340042053E-4</v>
      </c>
      <c r="S345">
        <v>7.4393700444467484E-2</v>
      </c>
      <c r="T345">
        <v>0.82748122823319248</v>
      </c>
      <c r="U345">
        <v>0</v>
      </c>
      <c r="V345">
        <v>9.1847618362185746E-2</v>
      </c>
      <c r="W345">
        <v>4.8055509748872509E-2</v>
      </c>
      <c r="X345">
        <v>7.2370739224622898E-3</v>
      </c>
      <c r="Y345">
        <v>2.1183108528925556E-3</v>
      </c>
    </row>
    <row r="346" spans="1:25" x14ac:dyDescent="0.25">
      <c r="A346" s="1096"/>
      <c r="B346" s="1455">
        <v>96</v>
      </c>
      <c r="C346" s="1100">
        <v>0.97644588241541685</v>
      </c>
      <c r="D346" s="1100">
        <v>1.0457025538493996</v>
      </c>
      <c r="E346" s="1100">
        <v>0.98948011619842779</v>
      </c>
      <c r="F346" s="1100">
        <v>0.9985044079512958</v>
      </c>
      <c r="G346" s="1100">
        <v>0.98122004473336899</v>
      </c>
      <c r="H346" s="1100">
        <v>1.0128644777259719</v>
      </c>
      <c r="I346" s="1100">
        <v>0.96685105308998276</v>
      </c>
      <c r="K346">
        <v>1.1469482612328201</v>
      </c>
      <c r="L346">
        <v>0</v>
      </c>
      <c r="M346">
        <v>8.3390543614792324E-4</v>
      </c>
      <c r="N346">
        <v>7.4338016065394363E-2</v>
      </c>
      <c r="O346">
        <v>1.0407669915626512E-2</v>
      </c>
      <c r="P346">
        <v>1.3390779372329069E-2</v>
      </c>
      <c r="Q346">
        <v>4.4716665741887339E-4</v>
      </c>
      <c r="R346">
        <v>8.3208199797371303E-4</v>
      </c>
      <c r="S346">
        <v>7.1012130727870423E-2</v>
      </c>
      <c r="T346">
        <v>0.82709255354365285</v>
      </c>
      <c r="U346">
        <v>0</v>
      </c>
      <c r="V346">
        <v>9.1888828807121417E-2</v>
      </c>
      <c r="W346">
        <v>4.9142598234623261E-2</v>
      </c>
      <c r="X346">
        <v>6.9656884442302162E-3</v>
      </c>
      <c r="Y346">
        <v>2.2646529027275336E-3</v>
      </c>
    </row>
    <row r="347" spans="1:25" x14ac:dyDescent="0.25">
      <c r="A347" s="1096"/>
      <c r="B347" s="1455">
        <v>97</v>
      </c>
      <c r="C347" s="1100">
        <v>0.99262443835298508</v>
      </c>
      <c r="D347" s="1100">
        <v>0.98416265191013041</v>
      </c>
      <c r="E347" s="1100">
        <v>0.99296149129924582</v>
      </c>
      <c r="F347" s="1100">
        <v>1.0156912187333211</v>
      </c>
      <c r="G347" s="1100">
        <v>0.99476606946116775</v>
      </c>
      <c r="H347" s="1100">
        <v>0.99170373672739498</v>
      </c>
      <c r="I347" s="1100">
        <v>1.0353565972466856</v>
      </c>
      <c r="K347">
        <v>1.1655404490737193</v>
      </c>
      <c r="L347">
        <v>0</v>
      </c>
      <c r="M347">
        <v>8.1698712296979258E-4</v>
      </c>
      <c r="N347">
        <v>7.3596966608689016E-2</v>
      </c>
      <c r="O347">
        <v>1.0490616308002014E-2</v>
      </c>
      <c r="P347">
        <v>1.3689326395366795E-2</v>
      </c>
      <c r="Q347">
        <v>4.5231822909500734E-4</v>
      </c>
      <c r="R347">
        <v>8.1516256007059605E-4</v>
      </c>
      <c r="S347">
        <v>7.6265066352768113E-2</v>
      </c>
      <c r="T347">
        <v>0.84109382325583537</v>
      </c>
      <c r="U347">
        <v>0</v>
      </c>
      <c r="V347">
        <v>9.2054971498660224E-2</v>
      </c>
      <c r="W347">
        <v>4.8551448501952733E-2</v>
      </c>
      <c r="X347">
        <v>7.1291327160025036E-3</v>
      </c>
      <c r="Y347">
        <v>2.2186037702464551E-3</v>
      </c>
    </row>
    <row r="348" spans="1:25" x14ac:dyDescent="0.25">
      <c r="A348" s="1096"/>
      <c r="B348" s="1455">
        <v>98</v>
      </c>
      <c r="C348" s="1100">
        <v>0.98386696526422024</v>
      </c>
      <c r="D348" s="1100">
        <v>1.0194318174489572</v>
      </c>
      <c r="E348" s="1100">
        <v>1.0009994189687055</v>
      </c>
      <c r="F348" s="1100">
        <v>1.0001047362415076</v>
      </c>
      <c r="G348" s="1100">
        <v>0.99357873362534088</v>
      </c>
      <c r="H348" s="1100">
        <v>1.0115335586781498</v>
      </c>
      <c r="I348" s="1100">
        <v>1.0349633791946218</v>
      </c>
      <c r="K348">
        <v>1.1548333716405166</v>
      </c>
      <c r="L348">
        <v>0</v>
      </c>
      <c r="M348">
        <v>8.1528223209055583E-4</v>
      </c>
      <c r="N348">
        <v>7.5252445657950889E-2</v>
      </c>
      <c r="O348">
        <v>1.0438628047983366E-2</v>
      </c>
      <c r="P348">
        <v>1.3592670261236291E-2</v>
      </c>
      <c r="Q348">
        <v>4.5373396862015164E-4</v>
      </c>
      <c r="R348">
        <v>8.1349717027533576E-4</v>
      </c>
      <c r="S348">
        <v>7.6387646733873174E-2</v>
      </c>
      <c r="T348">
        <v>0.82765366742956015</v>
      </c>
      <c r="U348">
        <v>0</v>
      </c>
      <c r="V348">
        <v>9.2227679038271393E-2</v>
      </c>
      <c r="W348">
        <v>4.9406396671485865E-2</v>
      </c>
      <c r="X348">
        <v>7.2082177651311722E-3</v>
      </c>
      <c r="Y348">
        <v>2.2140711282193542E-3</v>
      </c>
    </row>
    <row r="349" spans="1:25" x14ac:dyDescent="0.25">
      <c r="A349" s="1096"/>
      <c r="B349" s="1455">
        <v>99</v>
      </c>
      <c r="C349" s="1100">
        <v>1.0008207232598614</v>
      </c>
      <c r="D349" s="1100">
        <v>0.98854726776649615</v>
      </c>
      <c r="E349" s="1100">
        <v>0.95502935889925444</v>
      </c>
      <c r="F349" s="1100">
        <v>1.0018547680602121</v>
      </c>
      <c r="G349" s="1100">
        <v>1.0346157367054145</v>
      </c>
      <c r="H349" s="1100">
        <v>1.0060344146727518</v>
      </c>
      <c r="I349" s="1100">
        <v>0.99141586891130784</v>
      </c>
      <c r="K349">
        <v>1.1506835110580518</v>
      </c>
      <c r="L349">
        <v>0</v>
      </c>
      <c r="M349">
        <v>8.8742867755352338E-4</v>
      </c>
      <c r="N349">
        <v>7.1273171892049056E-2</v>
      </c>
      <c r="O349">
        <v>1.0373808937922103E-2</v>
      </c>
      <c r="P349">
        <v>1.3154608148900251E-2</v>
      </c>
      <c r="Q349">
        <v>4.3030950761440204E-4</v>
      </c>
      <c r="R349">
        <v>8.8547503008280413E-4</v>
      </c>
      <c r="S349">
        <v>7.2800683334915697E-2</v>
      </c>
      <c r="T349">
        <v>0.83218377301451041</v>
      </c>
      <c r="U349">
        <v>0</v>
      </c>
      <c r="V349">
        <v>9.3550419046978875E-2</v>
      </c>
      <c r="W349">
        <v>4.8113121299640377E-2</v>
      </c>
      <c r="X349">
        <v>6.3955983878697699E-3</v>
      </c>
      <c r="Y349">
        <v>2.4099711351201754E-3</v>
      </c>
    </row>
    <row r="350" spans="1:25" x14ac:dyDescent="0.25">
      <c r="A350" s="1096"/>
      <c r="B350" s="1455">
        <v>100</v>
      </c>
      <c r="C350" s="1100">
        <v>1.0030424403274678</v>
      </c>
      <c r="D350" s="1100">
        <v>1.0348823352321723</v>
      </c>
      <c r="E350" s="1100">
        <v>0.97063596519464157</v>
      </c>
      <c r="F350" s="1100">
        <v>0.99606105373385267</v>
      </c>
      <c r="G350" s="1100">
        <v>1.0259328658700277</v>
      </c>
      <c r="H350" s="1100">
        <v>0.99471818559405756</v>
      </c>
      <c r="I350" s="1100">
        <v>0.99843529500124295</v>
      </c>
      <c r="K350">
        <v>1.1400685103519828</v>
      </c>
      <c r="L350">
        <v>0</v>
      </c>
      <c r="M350">
        <v>8.3238442835313143E-4</v>
      </c>
      <c r="N350">
        <v>7.0087265466093743E-2</v>
      </c>
      <c r="O350">
        <v>1.0167896236096754E-2</v>
      </c>
      <c r="P350">
        <v>1.3206636564386266E-2</v>
      </c>
      <c r="Q350">
        <v>4.2857724781915433E-4</v>
      </c>
      <c r="R350">
        <v>8.3053111238691783E-4</v>
      </c>
      <c r="S350">
        <v>7.1021968400915972E-2</v>
      </c>
      <c r="T350">
        <v>0.82632341861359027</v>
      </c>
      <c r="U350">
        <v>0</v>
      </c>
      <c r="V350">
        <v>9.3125706061703839E-2</v>
      </c>
      <c r="W350">
        <v>4.6862745694803316E-2</v>
      </c>
      <c r="X350">
        <v>6.5857174791307295E-3</v>
      </c>
      <c r="Y350">
        <v>2.260431903409574E-3</v>
      </c>
    </row>
    <row r="351" spans="1:25" x14ac:dyDescent="0.25">
      <c r="A351" s="1096"/>
      <c r="B351" s="1455">
        <v>101</v>
      </c>
      <c r="C351" s="1100">
        <v>0.99807162183119502</v>
      </c>
      <c r="D351" s="1100">
        <v>1.0010908249011119</v>
      </c>
      <c r="E351" s="1100">
        <v>0.99559944021401692</v>
      </c>
      <c r="F351" s="1100">
        <v>1.0032772767758402</v>
      </c>
      <c r="G351" s="1100">
        <v>0.97026720836139102</v>
      </c>
      <c r="H351" s="1100">
        <v>1.0131554079205352</v>
      </c>
      <c r="I351" s="1100">
        <v>1.0256472205680589</v>
      </c>
      <c r="K351">
        <v>1.1540745457461181</v>
      </c>
      <c r="L351">
        <v>0</v>
      </c>
      <c r="M351">
        <v>8.1996561184376324E-4</v>
      </c>
      <c r="N351">
        <v>7.4460101474346535E-2</v>
      </c>
      <c r="O351">
        <v>1.0363294117866791E-2</v>
      </c>
      <c r="P351">
        <v>1.354629732072225E-2</v>
      </c>
      <c r="Q351">
        <v>4.4801870459721662E-4</v>
      </c>
      <c r="R351">
        <v>8.1817316968509622E-4</v>
      </c>
      <c r="S351">
        <v>7.5381240607827749E-2</v>
      </c>
      <c r="T351">
        <v>0.83063813153030464</v>
      </c>
      <c r="U351">
        <v>0</v>
      </c>
      <c r="V351">
        <v>9.0871641393085581E-2</v>
      </c>
      <c r="W351">
        <v>4.9043550938316367E-2</v>
      </c>
      <c r="X351">
        <v>7.0972644440385558E-3</v>
      </c>
      <c r="Y351">
        <v>2.2267976571699317E-3</v>
      </c>
    </row>
    <row r="352" spans="1:25" x14ac:dyDescent="0.25">
      <c r="A352" s="1096"/>
      <c r="B352" s="1455">
        <v>102</v>
      </c>
      <c r="C352" s="1100">
        <v>0.98381714337287995</v>
      </c>
      <c r="D352" s="1100">
        <v>1.0212282202197505</v>
      </c>
      <c r="E352" s="1100">
        <v>0.99858964787102367</v>
      </c>
      <c r="F352" s="1100">
        <v>0.99784136549623059</v>
      </c>
      <c r="G352" s="1100">
        <v>0.96489681799724825</v>
      </c>
      <c r="H352" s="1100">
        <v>1.016902083094944</v>
      </c>
      <c r="I352" s="1100">
        <v>0.97883476706141681</v>
      </c>
      <c r="K352">
        <v>1.1480875377930582</v>
      </c>
      <c r="L352">
        <v>0</v>
      </c>
      <c r="M352">
        <v>8.2317800773770906E-4</v>
      </c>
      <c r="N352">
        <v>7.5430941735922741E-2</v>
      </c>
      <c r="O352">
        <v>1.043101259075194E-2</v>
      </c>
      <c r="P352">
        <v>1.3473775039431308E-2</v>
      </c>
      <c r="Q352">
        <v>4.5230589713543263E-4</v>
      </c>
      <c r="R352">
        <v>8.2138517324089342E-4</v>
      </c>
      <c r="S352">
        <v>7.2396184544824355E-2</v>
      </c>
      <c r="T352">
        <v>0.82593978642840238</v>
      </c>
      <c r="U352">
        <v>0</v>
      </c>
      <c r="V352">
        <v>9.1002298152454697E-2</v>
      </c>
      <c r="W352">
        <v>4.9594578672862988E-2</v>
      </c>
      <c r="X352">
        <v>7.1329078937569981E-3</v>
      </c>
      <c r="Y352">
        <v>2.2355396720121247E-3</v>
      </c>
    </row>
    <row r="353" spans="1:25" x14ac:dyDescent="0.25">
      <c r="A353" s="1096"/>
      <c r="B353" s="1455">
        <v>103</v>
      </c>
      <c r="C353" s="1100">
        <v>0.96795611521204405</v>
      </c>
      <c r="D353" s="1100">
        <v>0.98679363828672551</v>
      </c>
      <c r="E353" s="1100">
        <v>1.0149614434829675</v>
      </c>
      <c r="F353" s="1100">
        <v>1.0375675594201408</v>
      </c>
      <c r="G353" s="1100">
        <v>1.0374409062049446</v>
      </c>
      <c r="H353" s="1100">
        <v>0.99472906447411269</v>
      </c>
      <c r="I353" s="1100">
        <v>1.0008640659369172</v>
      </c>
      <c r="K353">
        <v>1.1906168696996215</v>
      </c>
      <c r="L353">
        <v>0</v>
      </c>
      <c r="M353">
        <v>8.0199679384906799E-4</v>
      </c>
      <c r="N353">
        <v>7.7210786526201711E-2</v>
      </c>
      <c r="O353">
        <v>1.0753970096469926E-2</v>
      </c>
      <c r="P353">
        <v>1.4169766180482763E-2</v>
      </c>
      <c r="Q353">
        <v>4.740180944726215E-4</v>
      </c>
      <c r="R353">
        <v>8.002111559193793E-4</v>
      </c>
      <c r="S353">
        <v>7.5654236232015032E-2</v>
      </c>
      <c r="T353">
        <v>0.85770133072285082</v>
      </c>
      <c r="U353">
        <v>0</v>
      </c>
      <c r="V353">
        <v>9.4518981560180834E-2</v>
      </c>
      <c r="W353">
        <v>5.0275829278156534E-2</v>
      </c>
      <c r="X353">
        <v>7.6818256698440385E-3</v>
      </c>
      <c r="Y353">
        <v>2.1779109768758965E-3</v>
      </c>
    </row>
    <row r="354" spans="1:25" x14ac:dyDescent="0.25">
      <c r="A354" s="1096"/>
      <c r="B354" s="1455">
        <v>104</v>
      </c>
      <c r="C354" s="1100">
        <v>1.0084600673325466</v>
      </c>
      <c r="D354" s="1100">
        <v>1.0081766822184184</v>
      </c>
      <c r="E354" s="1100">
        <v>1.0205315284916001</v>
      </c>
      <c r="F354" s="1100">
        <v>1.0098596912874505</v>
      </c>
      <c r="G354" s="1100">
        <v>1.0452453594559183</v>
      </c>
      <c r="H354" s="1100">
        <v>0.99505271719345278</v>
      </c>
      <c r="I354" s="1100">
        <v>1.0101117211393917</v>
      </c>
      <c r="K354">
        <v>1.1567030626096879</v>
      </c>
      <c r="L354">
        <v>0</v>
      </c>
      <c r="M354">
        <v>7.546667661329381E-4</v>
      </c>
      <c r="N354">
        <v>7.3885610065084983E-2</v>
      </c>
      <c r="O354">
        <v>1.0235718467556002E-2</v>
      </c>
      <c r="P354">
        <v>1.3852529295760967E-2</v>
      </c>
      <c r="Q354">
        <v>4.5368279111585047E-4</v>
      </c>
      <c r="R354">
        <v>7.5298705456576997E-4</v>
      </c>
      <c r="S354">
        <v>7.2503561529511193E-2</v>
      </c>
      <c r="T354">
        <v>0.83442755811165781</v>
      </c>
      <c r="U354">
        <v>0</v>
      </c>
      <c r="V354">
        <v>9.3824719590987704E-2</v>
      </c>
      <c r="W354">
        <v>4.7953834613836344E-2</v>
      </c>
      <c r="X354">
        <v>7.518145315331971E-3</v>
      </c>
      <c r="Y354">
        <v>2.0493825404121996E-3</v>
      </c>
    </row>
    <row r="355" spans="1:25" x14ac:dyDescent="0.25">
      <c r="A355" s="1096"/>
      <c r="B355" s="1455">
        <v>105</v>
      </c>
      <c r="C355" s="1100">
        <v>1.0024883767066186</v>
      </c>
      <c r="D355" s="1100">
        <v>0.97293484118415596</v>
      </c>
      <c r="E355" s="1100">
        <v>1.0123872717888329</v>
      </c>
      <c r="F355" s="1100">
        <v>1.0102841962541471</v>
      </c>
      <c r="G355" s="1100">
        <v>0.97338479842233006</v>
      </c>
      <c r="H355" s="1100">
        <v>1.0059050210074856</v>
      </c>
      <c r="I355" s="1100">
        <v>0.9666067555247958</v>
      </c>
      <c r="K355">
        <v>1.1568754017590093</v>
      </c>
      <c r="L355">
        <v>0</v>
      </c>
      <c r="M355">
        <v>7.9173893523065654E-4</v>
      </c>
      <c r="N355">
        <v>7.5635196521483136E-2</v>
      </c>
      <c r="O355">
        <v>1.0441593115311357E-2</v>
      </c>
      <c r="P355">
        <v>1.3727941427153426E-2</v>
      </c>
      <c r="Q355">
        <v>4.5906859071028774E-4</v>
      </c>
      <c r="R355">
        <v>7.899957216340335E-4</v>
      </c>
      <c r="S355">
        <v>7.1503274920326779E-2</v>
      </c>
      <c r="T355">
        <v>0.83531866372777674</v>
      </c>
      <c r="U355">
        <v>0</v>
      </c>
      <c r="V355">
        <v>9.089837713530001E-2</v>
      </c>
      <c r="W355">
        <v>4.9324481504790761E-2</v>
      </c>
      <c r="X355">
        <v>7.418440097484472E-3</v>
      </c>
      <c r="Y355">
        <v>2.1501079322681915E-3</v>
      </c>
    </row>
    <row r="356" spans="1:25" x14ac:dyDescent="0.25">
      <c r="A356" s="1096"/>
      <c r="B356" s="1455">
        <v>106</v>
      </c>
      <c r="C356" s="1100">
        <v>0.99050567447227467</v>
      </c>
      <c r="D356" s="1100">
        <v>1.0028026170620497</v>
      </c>
      <c r="E356" s="1100">
        <v>0.99001439160493676</v>
      </c>
      <c r="F356" s="1100">
        <v>1.0063842706309658</v>
      </c>
      <c r="G356" s="1100">
        <v>0.98507181766230223</v>
      </c>
      <c r="H356" s="1100">
        <v>1.0115363845523813</v>
      </c>
      <c r="I356" s="1100">
        <v>1.0186751689797313</v>
      </c>
      <c r="K356">
        <v>1.1579612882864099</v>
      </c>
      <c r="L356">
        <v>0</v>
      </c>
      <c r="M356">
        <v>8.3393985853321372E-4</v>
      </c>
      <c r="N356">
        <v>7.4461056354837796E-2</v>
      </c>
      <c r="O356">
        <v>1.0433478680612375E-2</v>
      </c>
      <c r="P356">
        <v>1.3539431385985174E-2</v>
      </c>
      <c r="Q356">
        <v>4.4851771409560405E-4</v>
      </c>
      <c r="R356">
        <v>8.3211395091454274E-4</v>
      </c>
      <c r="S356">
        <v>7.5300248042439774E-2</v>
      </c>
      <c r="T356">
        <v>0.83358391533907528</v>
      </c>
      <c r="U356">
        <v>0</v>
      </c>
      <c r="V356">
        <v>9.169340665082934E-2</v>
      </c>
      <c r="W356">
        <v>4.9208181009997777E-2</v>
      </c>
      <c r="X356">
        <v>7.0301391480558752E-3</v>
      </c>
      <c r="Y356">
        <v>2.2647398680991876E-3</v>
      </c>
    </row>
    <row r="357" spans="1:25" x14ac:dyDescent="0.25">
      <c r="A357" s="1096"/>
      <c r="B357" s="1455">
        <v>107</v>
      </c>
      <c r="C357" s="1100">
        <v>0.99910014611334508</v>
      </c>
      <c r="D357" s="1100">
        <v>0.99054086915571982</v>
      </c>
      <c r="E357" s="1100">
        <v>1.005110914030708</v>
      </c>
      <c r="F357" s="1100">
        <v>1.0013854780317859</v>
      </c>
      <c r="G357" s="1100">
        <v>0.9990241877088637</v>
      </c>
      <c r="H357" s="1100">
        <v>1.017742400812049</v>
      </c>
      <c r="I357" s="1100">
        <v>0.95296653151723243</v>
      </c>
      <c r="K357">
        <v>1.1502305518643106</v>
      </c>
      <c r="L357">
        <v>0</v>
      </c>
      <c r="M357">
        <v>8.1018012999952229E-4</v>
      </c>
      <c r="N357">
        <v>7.5717020056844678E-2</v>
      </c>
      <c r="O357">
        <v>1.0399718529870037E-2</v>
      </c>
      <c r="P357">
        <v>1.3562936357674176E-2</v>
      </c>
      <c r="Q357">
        <v>4.5391159111349657E-4</v>
      </c>
      <c r="R357">
        <v>8.0841706104828272E-4</v>
      </c>
      <c r="S357">
        <v>7.0537881368388636E-2</v>
      </c>
      <c r="T357">
        <v>0.82844139687122187</v>
      </c>
      <c r="U357">
        <v>0</v>
      </c>
      <c r="V357">
        <v>9.2077049918405637E-2</v>
      </c>
      <c r="W357">
        <v>4.9590372236375434E-2</v>
      </c>
      <c r="X357">
        <v>7.2517832578060807E-3</v>
      </c>
      <c r="Y357">
        <v>2.2002447455608731E-3</v>
      </c>
    </row>
    <row r="358" spans="1:25" x14ac:dyDescent="0.25">
      <c r="A358" s="1096"/>
      <c r="B358" s="1455">
        <v>108</v>
      </c>
      <c r="C358" s="1100">
        <v>1.0202991747986732</v>
      </c>
      <c r="D358" s="1100">
        <v>1.0016919242137046</v>
      </c>
      <c r="E358" s="1100">
        <v>0.99410901072235625</v>
      </c>
      <c r="F358" s="1100">
        <v>0.99973354949900117</v>
      </c>
      <c r="G358" s="1100">
        <v>0.96771035864042443</v>
      </c>
      <c r="H358" s="1100">
        <v>1.0172254723827872</v>
      </c>
      <c r="I358" s="1100">
        <v>0.99590122100902423</v>
      </c>
      <c r="K358">
        <v>1.1440883317091057</v>
      </c>
      <c r="L358">
        <v>0</v>
      </c>
      <c r="M358">
        <v>8.0762227142537645E-4</v>
      </c>
      <c r="N358">
        <v>7.3010235711193708E-2</v>
      </c>
      <c r="O358">
        <v>1.0134615161446548E-2</v>
      </c>
      <c r="P358">
        <v>1.3434348406418314E-2</v>
      </c>
      <c r="Q358">
        <v>4.3747484844989853E-4</v>
      </c>
      <c r="R358">
        <v>8.0586387562503481E-4</v>
      </c>
      <c r="S358">
        <v>7.1738202358639355E-2</v>
      </c>
      <c r="T358">
        <v>0.82780308738170072</v>
      </c>
      <c r="U358">
        <v>0</v>
      </c>
      <c r="V358">
        <v>9.0221176353997373E-2</v>
      </c>
      <c r="W358">
        <v>4.8131379792367257E-2</v>
      </c>
      <c r="X358">
        <v>6.9862742741961664E-3</v>
      </c>
      <c r="Y358">
        <v>2.1932958164961407E-3</v>
      </c>
    </row>
    <row r="359" spans="1:25" x14ac:dyDescent="0.25">
      <c r="A359" s="1096"/>
      <c r="B359" s="1455">
        <v>109</v>
      </c>
      <c r="C359" s="1100">
        <v>0.98096302103866151</v>
      </c>
      <c r="D359" s="1100">
        <v>0.98714661366681633</v>
      </c>
      <c r="E359" s="1100">
        <v>0.98269544663175246</v>
      </c>
      <c r="F359" s="1100">
        <v>1.003857411314637</v>
      </c>
      <c r="G359" s="1100">
        <v>1.0311114140597495</v>
      </c>
      <c r="H359" s="1100">
        <v>0.98134401631257562</v>
      </c>
      <c r="I359" s="1100">
        <v>1.0311704840186684</v>
      </c>
      <c r="K359">
        <v>1.157168872650318</v>
      </c>
      <c r="L359">
        <v>0</v>
      </c>
      <c r="M359">
        <v>8.3462542188956742E-4</v>
      </c>
      <c r="N359">
        <v>7.2885971738250829E-2</v>
      </c>
      <c r="O359">
        <v>1.0599042547948839E-2</v>
      </c>
      <c r="P359">
        <v>1.3486145681657879E-2</v>
      </c>
      <c r="Q359">
        <v>4.5227001369915607E-4</v>
      </c>
      <c r="R359">
        <v>8.3274179054839987E-4</v>
      </c>
      <c r="S359">
        <v>7.6282204458525141E-2</v>
      </c>
      <c r="T359">
        <v>0.83198059182532114</v>
      </c>
      <c r="U359">
        <v>0</v>
      </c>
      <c r="V359">
        <v>9.3904482630737973E-2</v>
      </c>
      <c r="W359">
        <v>4.8379539687979978E-2</v>
      </c>
      <c r="X359">
        <v>6.9340590569236119E-3</v>
      </c>
      <c r="Y359">
        <v>2.2664486406152673E-3</v>
      </c>
    </row>
    <row r="360" spans="1:25" x14ac:dyDescent="0.25">
      <c r="A360" s="1096"/>
      <c r="B360" s="1455">
        <v>110</v>
      </c>
      <c r="C360" s="1100">
        <v>1.002302394822989</v>
      </c>
      <c r="D360" s="1100">
        <v>0.98992002987575101</v>
      </c>
      <c r="E360" s="1100">
        <v>0.96606035758709574</v>
      </c>
      <c r="F360" s="1100">
        <v>1.0343161770094453</v>
      </c>
      <c r="G360" s="1100">
        <v>0.97043857547905132</v>
      </c>
      <c r="H360" s="1100">
        <v>0.99998131485071617</v>
      </c>
      <c r="I360" s="1100">
        <v>0.9608186850326571</v>
      </c>
      <c r="K360">
        <v>1.1720414335935019</v>
      </c>
      <c r="L360">
        <v>0</v>
      </c>
      <c r="M360">
        <v>8.6050615397320011E-4</v>
      </c>
      <c r="N360">
        <v>7.1458947946039103E-2</v>
      </c>
      <c r="O360">
        <v>1.0356318743052833E-2</v>
      </c>
      <c r="P360">
        <v>1.3543500573111884E-2</v>
      </c>
      <c r="Q360">
        <v>4.34480720285351E-4</v>
      </c>
      <c r="R360">
        <v>8.5860030855071953E-4</v>
      </c>
      <c r="S360">
        <v>7.0174996726109953E-2</v>
      </c>
      <c r="T360">
        <v>0.85837769756070159</v>
      </c>
      <c r="U360">
        <v>0</v>
      </c>
      <c r="V360">
        <v>9.0769656384973502E-2</v>
      </c>
      <c r="W360">
        <v>4.7913320963721098E-2</v>
      </c>
      <c r="X360">
        <v>6.6775928185693646E-3</v>
      </c>
      <c r="Y360">
        <v>2.3368270023594127E-3</v>
      </c>
    </row>
    <row r="361" spans="1:25" x14ac:dyDescent="0.25">
      <c r="A361" s="1096"/>
      <c r="B361" s="1455">
        <v>111</v>
      </c>
      <c r="C361" s="1100">
        <v>1.0208108220501064</v>
      </c>
      <c r="D361" s="1100">
        <v>0.9907506285226767</v>
      </c>
      <c r="E361" s="1100">
        <v>0.97164065623914164</v>
      </c>
      <c r="F361" s="1100">
        <v>1.0160922264086418</v>
      </c>
      <c r="G361" s="1100">
        <v>0.98682079160443992</v>
      </c>
      <c r="H361" s="1100">
        <v>0.99749407358513176</v>
      </c>
      <c r="I361" s="1100">
        <v>0.98146695817740714</v>
      </c>
      <c r="K361">
        <v>1.1544257027045617</v>
      </c>
      <c r="L361">
        <v>0</v>
      </c>
      <c r="M361">
        <v>8.328713966473467E-4</v>
      </c>
      <c r="N361">
        <v>7.0342348795893669E-2</v>
      </c>
      <c r="O361">
        <v>1.016692320279107E-2</v>
      </c>
      <c r="P361">
        <v>1.3399368857488622E-2</v>
      </c>
      <c r="Q361">
        <v>4.2897623239511164E-4</v>
      </c>
      <c r="R361">
        <v>8.3102215697838423E-4</v>
      </c>
      <c r="S361">
        <v>7.0261767569303454E-2</v>
      </c>
      <c r="T361">
        <v>0.84287256293302126</v>
      </c>
      <c r="U361">
        <v>0</v>
      </c>
      <c r="V361">
        <v>9.1023048740926815E-2</v>
      </c>
      <c r="W361">
        <v>4.7004577586367564E-2</v>
      </c>
      <c r="X361">
        <v>6.6662096611267039E-3</v>
      </c>
      <c r="Y361">
        <v>2.261768364914739E-3</v>
      </c>
    </row>
    <row r="362" spans="1:25" x14ac:dyDescent="0.25">
      <c r="A362" s="1096"/>
      <c r="B362" s="1455">
        <v>112</v>
      </c>
      <c r="C362" s="1100">
        <v>0.98632349094421357</v>
      </c>
      <c r="D362" s="1100">
        <v>1.0445662785766998</v>
      </c>
      <c r="E362" s="1100">
        <v>0.98618472220760489</v>
      </c>
      <c r="F362" s="1100">
        <v>1.0235225991985957</v>
      </c>
      <c r="G362" s="1100">
        <v>1.0193187828052348</v>
      </c>
      <c r="H362" s="1100">
        <v>1.0203611130676458</v>
      </c>
      <c r="I362" s="1100">
        <v>0.97976748207271491</v>
      </c>
      <c r="K362">
        <v>1.1694742566108058</v>
      </c>
      <c r="L362">
        <v>0</v>
      </c>
      <c r="M362">
        <v>8.3772228828599951E-4</v>
      </c>
      <c r="N362">
        <v>7.3938984101955318E-2</v>
      </c>
      <c r="O362">
        <v>1.030685075058629E-2</v>
      </c>
      <c r="P362">
        <v>1.366623119954862E-2</v>
      </c>
      <c r="Q362">
        <v>4.4136060878032993E-4</v>
      </c>
      <c r="R362">
        <v>8.3590396228319056E-4</v>
      </c>
      <c r="S362">
        <v>7.1573638051855987E-2</v>
      </c>
      <c r="T362">
        <v>0.84804053829684412</v>
      </c>
      <c r="U362">
        <v>0</v>
      </c>
      <c r="V362">
        <v>9.3263363423575454E-2</v>
      </c>
      <c r="W362">
        <v>4.8975565350691211E-2</v>
      </c>
      <c r="X362">
        <v>6.9944881233028628E-3</v>
      </c>
      <c r="Y362">
        <v>2.2750550296677355E-3</v>
      </c>
    </row>
    <row r="363" spans="1:25" x14ac:dyDescent="0.25">
      <c r="A363" s="1096"/>
      <c r="B363" s="1455">
        <v>113</v>
      </c>
      <c r="C363" s="1100">
        <v>1.0103571998216521</v>
      </c>
      <c r="D363" s="1100">
        <v>1.0104830285242226</v>
      </c>
      <c r="E363" s="1100">
        <v>1.0132506695952408</v>
      </c>
      <c r="F363" s="1100">
        <v>0.99955548150826312</v>
      </c>
      <c r="G363" s="1100">
        <v>0.9687576946525096</v>
      </c>
      <c r="H363" s="1100">
        <v>0.99283512142790586</v>
      </c>
      <c r="I363" s="1100">
        <v>1.0160395883569076</v>
      </c>
      <c r="K363">
        <v>1.1437848379729023</v>
      </c>
      <c r="L363">
        <v>0</v>
      </c>
      <c r="M363">
        <v>7.6234072645851348E-4</v>
      </c>
      <c r="N363">
        <v>7.3014688896563706E-2</v>
      </c>
      <c r="O363">
        <v>1.0204810422435519E-2</v>
      </c>
      <c r="P363">
        <v>1.3623648724548826E-2</v>
      </c>
      <c r="Q363">
        <v>4.4904514559774265E-4</v>
      </c>
      <c r="R363">
        <v>7.6064014449867619E-4</v>
      </c>
      <c r="S363">
        <v>7.2607843591112525E-2</v>
      </c>
      <c r="T363">
        <v>0.82639121856493525</v>
      </c>
      <c r="U363">
        <v>0</v>
      </c>
      <c r="V363">
        <v>9.0508169091686519E-2</v>
      </c>
      <c r="W363">
        <v>4.7591370155360503E-2</v>
      </c>
      <c r="X363">
        <v>7.3255322342507595E-3</v>
      </c>
      <c r="Y363">
        <v>2.0702117283691516E-3</v>
      </c>
    </row>
    <row r="364" spans="1:25" x14ac:dyDescent="0.25">
      <c r="A364" s="1096"/>
      <c r="B364" s="1455">
        <v>114</v>
      </c>
      <c r="C364" s="1100">
        <v>0.98729274416933155</v>
      </c>
      <c r="D364" s="1100">
        <v>1.0159604306780841</v>
      </c>
      <c r="E364" s="1100">
        <v>1.0064265377257182</v>
      </c>
      <c r="F364" s="1100">
        <v>1.0147006148202609</v>
      </c>
      <c r="G364" s="1100">
        <v>1.0371571332181075</v>
      </c>
      <c r="H364" s="1100">
        <v>0.99501480834801403</v>
      </c>
      <c r="I364" s="1100">
        <v>0.99717230216485853</v>
      </c>
      <c r="K364">
        <v>1.1631513488844094</v>
      </c>
      <c r="L364">
        <v>0</v>
      </c>
      <c r="M364">
        <v>7.9131305964757917E-4</v>
      </c>
      <c r="N364">
        <v>7.4244471337587922E-2</v>
      </c>
      <c r="O364">
        <v>1.0418399033910161E-2</v>
      </c>
      <c r="P364">
        <v>1.3783343930473348E-2</v>
      </c>
      <c r="Q364">
        <v>4.5532675808026527E-4</v>
      </c>
      <c r="R364">
        <v>7.8955171490678122E-4</v>
      </c>
      <c r="S364">
        <v>7.2803139897426053E-2</v>
      </c>
      <c r="T364">
        <v>0.83936881408898012</v>
      </c>
      <c r="U364">
        <v>0</v>
      </c>
      <c r="V364">
        <v>9.4004088650592108E-2</v>
      </c>
      <c r="W364">
        <v>4.858810107576076E-2</v>
      </c>
      <c r="X364">
        <v>7.3385259640142498E-3</v>
      </c>
      <c r="Y364">
        <v>2.1488994923233896E-3</v>
      </c>
    </row>
    <row r="365" spans="1:25" x14ac:dyDescent="0.25">
      <c r="A365" s="1096"/>
      <c r="B365" s="1455">
        <v>115</v>
      </c>
      <c r="C365" s="1100">
        <v>0.99210336774111896</v>
      </c>
      <c r="D365" s="1100">
        <v>1.0336085126908414</v>
      </c>
      <c r="E365" s="1100">
        <v>1.0104262108582547</v>
      </c>
      <c r="F365" s="1100">
        <v>1.0250633442093309</v>
      </c>
      <c r="G365" s="1100">
        <v>0.98043667814926427</v>
      </c>
      <c r="H365" s="1100">
        <v>1.0300548377634908</v>
      </c>
      <c r="I365" s="1100">
        <v>0.99290922493780109</v>
      </c>
      <c r="K365">
        <v>1.1723509761409172</v>
      </c>
      <c r="L365">
        <v>0</v>
      </c>
      <c r="M365">
        <v>8.0291322625055327E-4</v>
      </c>
      <c r="N365">
        <v>7.6253901281751524E-2</v>
      </c>
      <c r="O365">
        <v>1.0298009467818937E-2</v>
      </c>
      <c r="P365">
        <v>1.3904897773490695E-2</v>
      </c>
      <c r="Q365">
        <v>4.5186987693246342E-4</v>
      </c>
      <c r="R365">
        <v>8.0118685639643419E-4</v>
      </c>
      <c r="S365">
        <v>7.2918683629741521E-2</v>
      </c>
      <c r="T365">
        <v>0.84767063544266097</v>
      </c>
      <c r="U365">
        <v>0</v>
      </c>
      <c r="V365">
        <v>9.1458297337177932E-2</v>
      </c>
      <c r="W365">
        <v>4.9785435997087256E-2</v>
      </c>
      <c r="X365">
        <v>7.4304051921742567E-3</v>
      </c>
      <c r="Y365">
        <v>2.1805665119348644E-3</v>
      </c>
    </row>
    <row r="366" spans="1:25" x14ac:dyDescent="0.25">
      <c r="A366" s="1096"/>
      <c r="B366" s="1455">
        <v>116</v>
      </c>
      <c r="C366" s="1100">
        <v>0.98963345445199269</v>
      </c>
      <c r="D366" s="1100">
        <v>1.0158888849654251</v>
      </c>
      <c r="E366" s="1100">
        <v>0.99900004685801158</v>
      </c>
      <c r="F366" s="1100">
        <v>0.97336307927291965</v>
      </c>
      <c r="G366" s="1100">
        <v>1.0024533089329495</v>
      </c>
      <c r="H366" s="1100">
        <v>0.96961489053361194</v>
      </c>
      <c r="I366" s="1100">
        <v>0.99196191751658924</v>
      </c>
      <c r="K366">
        <v>1.1212905653920362</v>
      </c>
      <c r="L366">
        <v>0</v>
      </c>
      <c r="M366">
        <v>7.8125878382973447E-4</v>
      </c>
      <c r="N366">
        <v>7.1670920549351189E-2</v>
      </c>
      <c r="O366">
        <v>1.0391608174634604E-2</v>
      </c>
      <c r="P366">
        <v>1.320535475267778E-2</v>
      </c>
      <c r="Q366">
        <v>4.5078330157558147E-4</v>
      </c>
      <c r="R366">
        <v>7.794742646719282E-4</v>
      </c>
      <c r="S366">
        <v>7.1216128437895654E-2</v>
      </c>
      <c r="T366">
        <v>0.80565199691188383</v>
      </c>
      <c r="U366">
        <v>0</v>
      </c>
      <c r="V366">
        <v>9.2460008862374071E-2</v>
      </c>
      <c r="W366">
        <v>4.7110924246625913E-2</v>
      </c>
      <c r="X366">
        <v>7.0131526793612339E-3</v>
      </c>
      <c r="Y366">
        <v>2.121471994814697E-3</v>
      </c>
    </row>
    <row r="367" spans="1:25" x14ac:dyDescent="0.25">
      <c r="A367" s="1096"/>
      <c r="B367" s="1455">
        <v>117</v>
      </c>
      <c r="C367" s="1100">
        <v>1.0241507049413787</v>
      </c>
      <c r="D367" s="1100">
        <v>0.99686403009801716</v>
      </c>
      <c r="E367" s="1100">
        <v>1.0332591099297774</v>
      </c>
      <c r="F367" s="1100">
        <v>0.9771173649217908</v>
      </c>
      <c r="G367" s="1100">
        <v>1.0033238159247173</v>
      </c>
      <c r="H367" s="1100">
        <v>0.99948291381372745</v>
      </c>
      <c r="I367" s="1100">
        <v>0.97306106452019547</v>
      </c>
      <c r="K367">
        <v>1.1233637550768567</v>
      </c>
      <c r="L367">
        <v>0</v>
      </c>
      <c r="M367">
        <v>7.3017480624427945E-4</v>
      </c>
      <c r="N367">
        <v>7.4285265049571489E-2</v>
      </c>
      <c r="O367">
        <v>1.0128586255918236E-2</v>
      </c>
      <c r="P367">
        <v>1.3518174276016532E-2</v>
      </c>
      <c r="Q367">
        <v>4.5462904071110052E-4</v>
      </c>
      <c r="R367">
        <v>7.2855681171916746E-4</v>
      </c>
      <c r="S367">
        <v>6.9359627106541616E-2</v>
      </c>
      <c r="T367">
        <v>0.80656070142833691</v>
      </c>
      <c r="U367">
        <v>0</v>
      </c>
      <c r="V367">
        <v>9.1658382871042179E-2</v>
      </c>
      <c r="W367">
        <v>4.7857468207909204E-2</v>
      </c>
      <c r="X367">
        <v>7.5596473625209552E-3</v>
      </c>
      <c r="Y367">
        <v>1.9828914728111371E-3</v>
      </c>
    </row>
    <row r="368" spans="1:25" x14ac:dyDescent="0.25">
      <c r="A368" s="1096"/>
      <c r="B368" s="1455">
        <v>118</v>
      </c>
      <c r="C368" s="1100">
        <v>1.0008266073596992</v>
      </c>
      <c r="D368" s="1100">
        <v>0.97794343607765</v>
      </c>
      <c r="E368" s="1100">
        <v>0.97663975942644432</v>
      </c>
      <c r="F368" s="1100">
        <v>1.003700827395797</v>
      </c>
      <c r="G368" s="1100">
        <v>1.0197222057925757</v>
      </c>
      <c r="H368" s="1100">
        <v>1.0410146861488931</v>
      </c>
      <c r="I368" s="1100">
        <v>1.0229238533267115</v>
      </c>
      <c r="K368">
        <v>1.1617147542611157</v>
      </c>
      <c r="L368">
        <v>0</v>
      </c>
      <c r="M368">
        <v>8.8203543814372181E-4</v>
      </c>
      <c r="N368">
        <v>7.5637496300155149E-2</v>
      </c>
      <c r="O368">
        <v>1.042568607655308E-2</v>
      </c>
      <c r="P368">
        <v>1.3424558354820265E-2</v>
      </c>
      <c r="Q368">
        <v>4.4214246585683631E-4</v>
      </c>
      <c r="R368">
        <v>8.8015891140991967E-4</v>
      </c>
      <c r="S368">
        <v>7.7024176278375614E-2</v>
      </c>
      <c r="T368">
        <v>0.83225721634441885</v>
      </c>
      <c r="U368">
        <v>0</v>
      </c>
      <c r="V368">
        <v>9.291542703703444E-2</v>
      </c>
      <c r="W368">
        <v>5.038988588626836E-2</v>
      </c>
      <c r="X368">
        <v>6.8045396318166269E-3</v>
      </c>
      <c r="Y368">
        <v>2.3955024125506324E-3</v>
      </c>
    </row>
    <row r="369" spans="1:25" x14ac:dyDescent="0.25">
      <c r="A369" s="1096"/>
      <c r="B369" s="1455">
        <v>119</v>
      </c>
      <c r="C369" s="1100">
        <v>1.0241051318884069</v>
      </c>
      <c r="D369" s="1100">
        <v>0.98319746080820591</v>
      </c>
      <c r="E369" s="1100">
        <v>1.0029978073252601</v>
      </c>
      <c r="F369" s="1100">
        <v>0.99686336042441592</v>
      </c>
      <c r="G369" s="1100">
        <v>0.99314071180726338</v>
      </c>
      <c r="H369" s="1100">
        <v>1.0069868628359244</v>
      </c>
      <c r="I369" s="1100">
        <v>1.0304613751372274</v>
      </c>
      <c r="K369">
        <v>1.1448785247815212</v>
      </c>
      <c r="L369">
        <v>0</v>
      </c>
      <c r="M369">
        <v>7.8782448116097446E-4</v>
      </c>
      <c r="N369">
        <v>7.3157609383567551E-2</v>
      </c>
      <c r="O369">
        <v>1.0175357764058042E-2</v>
      </c>
      <c r="P369">
        <v>1.3531465263452331E-2</v>
      </c>
      <c r="Q369">
        <v>4.4317880139601738E-4</v>
      </c>
      <c r="R369">
        <v>7.8609174976252392E-4</v>
      </c>
      <c r="S369">
        <v>7.4250162501190639E-2</v>
      </c>
      <c r="T369">
        <v>0.82483945294070427</v>
      </c>
      <c r="U369">
        <v>0</v>
      </c>
      <c r="V369">
        <v>9.1219515245105853E-2</v>
      </c>
      <c r="W369">
        <v>4.7974124157554345E-2</v>
      </c>
      <c r="X369">
        <v>7.1499088481131248E-3</v>
      </c>
      <c r="Y369">
        <v>2.1394826077779251E-3</v>
      </c>
    </row>
    <row r="370" spans="1:25" x14ac:dyDescent="0.25">
      <c r="A370" s="1096"/>
      <c r="B370" s="1455">
        <v>120</v>
      </c>
      <c r="C370" s="1100">
        <v>0.9908492719287586</v>
      </c>
      <c r="D370" s="1100">
        <v>1.026239478843084</v>
      </c>
      <c r="E370" s="1100">
        <v>1.0057868988183414</v>
      </c>
      <c r="F370" s="1100">
        <v>0.96721578146777643</v>
      </c>
      <c r="G370" s="1100">
        <v>0.97461422275517051</v>
      </c>
      <c r="H370" s="1100">
        <v>1.0121933209450389</v>
      </c>
      <c r="I370" s="1100">
        <v>0.98616745362753766</v>
      </c>
      <c r="K370">
        <v>1.120649815191157</v>
      </c>
      <c r="L370">
        <v>0</v>
      </c>
      <c r="M370">
        <v>7.9992377765316551E-4</v>
      </c>
      <c r="N370">
        <v>7.4910370038148169E-2</v>
      </c>
      <c r="O370">
        <v>1.033907715797149E-2</v>
      </c>
      <c r="P370">
        <v>1.319156048617541E-2</v>
      </c>
      <c r="Q370">
        <v>4.5157061484118999E-4</v>
      </c>
      <c r="R370">
        <v>7.9817348481005181E-4</v>
      </c>
      <c r="S370">
        <v>7.205938612946243E-2</v>
      </c>
      <c r="T370">
        <v>0.80012980020983537</v>
      </c>
      <c r="U370">
        <v>0</v>
      </c>
      <c r="V370">
        <v>9.1240214316375107E-2</v>
      </c>
      <c r="W370">
        <v>4.9042438937317696E-2</v>
      </c>
      <c r="X370">
        <v>7.1147824860381247E-3</v>
      </c>
      <c r="Y370">
        <v>2.1723651078344075E-3</v>
      </c>
    </row>
    <row r="371" spans="1:25" x14ac:dyDescent="0.25">
      <c r="A371" s="1096"/>
      <c r="B371" s="1455">
        <v>121</v>
      </c>
      <c r="C371" s="1100">
        <v>1.0009966955242269</v>
      </c>
      <c r="D371" s="1100">
        <v>1.0141633442188109</v>
      </c>
      <c r="E371" s="1100">
        <v>0.98993462328804105</v>
      </c>
      <c r="F371" s="1100">
        <v>0.96896004667527824</v>
      </c>
      <c r="G371" s="1100">
        <v>0.98294410885568495</v>
      </c>
      <c r="H371" s="1100">
        <v>1.0110577444098672</v>
      </c>
      <c r="I371" s="1100">
        <v>1.0204608307818712</v>
      </c>
      <c r="K371">
        <v>1.1227703295758502</v>
      </c>
      <c r="L371">
        <v>0</v>
      </c>
      <c r="M371">
        <v>8.2123655840989865E-4</v>
      </c>
      <c r="N371">
        <v>7.3309041923305313E-2</v>
      </c>
      <c r="O371">
        <v>1.0277686885525458E-2</v>
      </c>
      <c r="P371">
        <v>1.3099541579808185E-2</v>
      </c>
      <c r="Q371">
        <v>4.4178486489078179E-4</v>
      </c>
      <c r="R371">
        <v>8.1943761338324243E-4</v>
      </c>
      <c r="S371">
        <v>7.4192235849035407E-2</v>
      </c>
      <c r="T371">
        <v>0.80259072813775156</v>
      </c>
      <c r="U371">
        <v>0</v>
      </c>
      <c r="V371">
        <v>9.1340227806038454E-2</v>
      </c>
      <c r="W371">
        <v>4.8449178302543902E-2</v>
      </c>
      <c r="X371">
        <v>6.841464115884632E-3</v>
      </c>
      <c r="Y371">
        <v>2.2302390560925323E-3</v>
      </c>
    </row>
    <row r="372" spans="1:25" x14ac:dyDescent="0.25">
      <c r="A372" s="1096"/>
      <c r="B372" s="1455">
        <v>122</v>
      </c>
      <c r="C372" s="1100">
        <v>1.0079885310414947</v>
      </c>
      <c r="D372" s="1100">
        <v>1.0197290656999296</v>
      </c>
      <c r="E372" s="1100">
        <v>1.0132515002679319</v>
      </c>
      <c r="F372" s="1100">
        <v>1.0397398812214451</v>
      </c>
      <c r="G372" s="1100">
        <v>0.98919552641562603</v>
      </c>
      <c r="H372" s="1100">
        <v>0.99533517187774256</v>
      </c>
      <c r="I372" s="1100">
        <v>0.99316077604088426</v>
      </c>
      <c r="K372">
        <v>1.1769746925186451</v>
      </c>
      <c r="L372">
        <v>0</v>
      </c>
      <c r="M372">
        <v>7.6326901216161071E-4</v>
      </c>
      <c r="N372">
        <v>7.3104191102102048E-2</v>
      </c>
      <c r="O372">
        <v>1.0191591140731496E-2</v>
      </c>
      <c r="P372">
        <v>1.4070385164578619E-2</v>
      </c>
      <c r="Q372">
        <v>4.484638255483787E-4</v>
      </c>
      <c r="R372">
        <v>7.6157063610777164E-4</v>
      </c>
      <c r="S372">
        <v>7.0907235544725458E-2</v>
      </c>
      <c r="T372">
        <v>0.85961396495243858</v>
      </c>
      <c r="U372">
        <v>0</v>
      </c>
      <c r="V372">
        <v>9.1439431638814433E-2</v>
      </c>
      <c r="W372">
        <v>4.7649684897810331E-2</v>
      </c>
      <c r="X372">
        <v>7.4786984081569819E-3</v>
      </c>
      <c r="Y372">
        <v>2.0727442197926334E-3</v>
      </c>
    </row>
    <row r="373" spans="1:25" x14ac:dyDescent="0.25">
      <c r="A373" s="1096"/>
      <c r="B373" s="1455">
        <v>123</v>
      </c>
      <c r="C373" s="1100">
        <v>0.96872091144338612</v>
      </c>
      <c r="D373" s="1100">
        <v>0.97988753696896691</v>
      </c>
      <c r="E373" s="1100">
        <v>0.96930727436696262</v>
      </c>
      <c r="F373" s="1100">
        <v>0.99326682970492441</v>
      </c>
      <c r="G373" s="1100">
        <v>1.0356136377478049</v>
      </c>
      <c r="H373" s="1100">
        <v>0.98236642857893419</v>
      </c>
      <c r="I373" s="1100">
        <v>0.96830326487793839</v>
      </c>
      <c r="K373">
        <v>1.1469250851982935</v>
      </c>
      <c r="L373">
        <v>0</v>
      </c>
      <c r="M373">
        <v>8.7235892846084645E-4</v>
      </c>
      <c r="N373">
        <v>7.3156171356342573E-2</v>
      </c>
      <c r="O373">
        <v>1.0760178070519334E-2</v>
      </c>
      <c r="P373">
        <v>1.3204901201385233E-2</v>
      </c>
      <c r="Q373">
        <v>4.5292643914115978E-4</v>
      </c>
      <c r="R373">
        <v>8.7039218698841683E-4</v>
      </c>
      <c r="S373">
        <v>7.2839218462861857E-2</v>
      </c>
      <c r="T373">
        <v>0.82409401054282716</v>
      </c>
      <c r="U373">
        <v>0</v>
      </c>
      <c r="V373">
        <v>9.4414599542135616E-2</v>
      </c>
      <c r="W373">
        <v>4.8954294776698853E-2</v>
      </c>
      <c r="X373">
        <v>6.6818309395789794E-3</v>
      </c>
      <c r="Y373">
        <v>2.368920608275143E-3</v>
      </c>
    </row>
    <row r="374" spans="1:25" x14ac:dyDescent="0.25">
      <c r="A374" s="1096"/>
      <c r="B374" s="1455">
        <v>124</v>
      </c>
      <c r="C374" s="1100">
        <v>1.0028810663401346</v>
      </c>
      <c r="D374" s="1100">
        <v>0.9593356094285127</v>
      </c>
      <c r="E374" s="1100">
        <v>1.001330025360825</v>
      </c>
      <c r="F374" s="1100">
        <v>0.99004197236525693</v>
      </c>
      <c r="G374" s="1100">
        <v>1.0047511859777121</v>
      </c>
      <c r="H374" s="1100">
        <v>1.0257409473762709</v>
      </c>
      <c r="I374" s="1100">
        <v>0.97386478446111058</v>
      </c>
      <c r="K374">
        <v>1.1457718781742887</v>
      </c>
      <c r="L374">
        <v>0</v>
      </c>
      <c r="M374">
        <v>8.3044234318316161E-4</v>
      </c>
      <c r="N374">
        <v>7.6730685176195995E-2</v>
      </c>
      <c r="O374">
        <v>1.0492765294386672E-2</v>
      </c>
      <c r="P374">
        <v>1.3440177284680301E-2</v>
      </c>
      <c r="Q374">
        <v>4.5623863634597638E-4</v>
      </c>
      <c r="R374">
        <v>8.2864927266352727E-4</v>
      </c>
      <c r="S374">
        <v>7.3318601081546392E-2</v>
      </c>
      <c r="T374">
        <v>0.81930439879765815</v>
      </c>
      <c r="U374">
        <v>0</v>
      </c>
      <c r="V374">
        <v>9.2227795616519392E-2</v>
      </c>
      <c r="W374">
        <v>5.036703439706669E-2</v>
      </c>
      <c r="X374">
        <v>7.18066480437809E-3</v>
      </c>
      <c r="Y374">
        <v>2.2553101560308024E-3</v>
      </c>
    </row>
    <row r="375" spans="1:25" x14ac:dyDescent="0.25">
      <c r="A375" s="1096"/>
      <c r="B375" s="1455">
        <v>125</v>
      </c>
      <c r="C375" s="1100">
        <v>1.0104347442332937</v>
      </c>
      <c r="D375" s="1100">
        <v>1.020562365161277</v>
      </c>
      <c r="E375" s="1100">
        <v>1.0176759784946392</v>
      </c>
      <c r="F375" s="1100">
        <v>1.003875372859391</v>
      </c>
      <c r="G375" s="1100">
        <v>0.98285605073156135</v>
      </c>
      <c r="H375" s="1100">
        <v>0.97385499510651896</v>
      </c>
      <c r="I375" s="1100">
        <v>0.99149798168805214</v>
      </c>
      <c r="K375">
        <v>1.1423918759896174</v>
      </c>
      <c r="L375">
        <v>0</v>
      </c>
      <c r="M375">
        <v>7.3792579174983893E-4</v>
      </c>
      <c r="N375">
        <v>7.1623366668595173E-2</v>
      </c>
      <c r="O375">
        <v>1.0165021359269614E-2</v>
      </c>
      <c r="P375">
        <v>1.368211035403329E-2</v>
      </c>
      <c r="Q375">
        <v>4.4927140076909646E-4</v>
      </c>
      <c r="R375">
        <v>7.3624759076494357E-4</v>
      </c>
      <c r="S375">
        <v>6.9741798603903227E-2</v>
      </c>
      <c r="T375">
        <v>0.82967084043528228</v>
      </c>
      <c r="U375">
        <v>0</v>
      </c>
      <c r="V375">
        <v>9.1109661886374968E-2</v>
      </c>
      <c r="W375">
        <v>4.6563355975999726E-2</v>
      </c>
      <c r="X375">
        <v>7.3843042682643729E-3</v>
      </c>
      <c r="Y375">
        <v>2.0038232381091089E-3</v>
      </c>
    </row>
    <row r="376" spans="1:25" x14ac:dyDescent="0.25">
      <c r="A376" s="1096"/>
      <c r="B376" s="1455">
        <v>126</v>
      </c>
      <c r="C376" s="1100">
        <v>1.0112474621788869</v>
      </c>
      <c r="D376" s="1100">
        <v>1.0476761583182423</v>
      </c>
      <c r="E376" s="1100">
        <v>0.99315825756791964</v>
      </c>
      <c r="F376" s="1100">
        <v>0.99817975078296395</v>
      </c>
      <c r="G376" s="1100">
        <v>0.9949944637673549</v>
      </c>
      <c r="H376" s="1100">
        <v>0.97820258893840695</v>
      </c>
      <c r="I376" s="1100">
        <v>0.99786013267651485</v>
      </c>
      <c r="K376">
        <v>1.1357650957864751</v>
      </c>
      <c r="L376">
        <v>0</v>
      </c>
      <c r="M376">
        <v>7.7116702121427893E-4</v>
      </c>
      <c r="N376">
        <v>6.950852032294462E-2</v>
      </c>
      <c r="O376">
        <v>1.0043085256055049E-2</v>
      </c>
      <c r="P376">
        <v>1.3394356932016564E-2</v>
      </c>
      <c r="Q376">
        <v>4.3310825871235203E-4</v>
      </c>
      <c r="R376">
        <v>7.6942101727678651E-4</v>
      </c>
      <c r="S376">
        <v>6.9337749285705963E-2</v>
      </c>
      <c r="T376">
        <v>0.82657953064920431</v>
      </c>
      <c r="U376">
        <v>0</v>
      </c>
      <c r="V376">
        <v>9.1605027102991815E-2</v>
      </c>
      <c r="W376">
        <v>4.5848934920637366E-2</v>
      </c>
      <c r="X376">
        <v>6.9224186926863471E-3</v>
      </c>
      <c r="Y376">
        <v>2.0941103694572345E-3</v>
      </c>
    </row>
    <row r="377" spans="1:25" x14ac:dyDescent="0.25">
      <c r="A377" s="1096"/>
      <c r="B377" s="1455">
        <v>127</v>
      </c>
      <c r="C377" s="1100">
        <v>1.0348633775420351</v>
      </c>
      <c r="D377" s="1100">
        <v>1.0135473333998339</v>
      </c>
      <c r="E377" s="1100">
        <v>0.98708175964177769</v>
      </c>
      <c r="F377" s="1100">
        <v>1.0098031628622275</v>
      </c>
      <c r="G377" s="1100">
        <v>0.98468422282514678</v>
      </c>
      <c r="H377" s="1100">
        <v>1.0374426843128239</v>
      </c>
      <c r="I377" s="1100">
        <v>0.97375775210065962</v>
      </c>
      <c r="K377">
        <v>1.1502686131142528</v>
      </c>
      <c r="L377">
        <v>0</v>
      </c>
      <c r="M377">
        <v>8.2011926692533959E-4</v>
      </c>
      <c r="N377">
        <v>7.2584541050581708E-2</v>
      </c>
      <c r="O377">
        <v>9.9428624600654599E-3</v>
      </c>
      <c r="P377">
        <v>1.345731066834626E-2</v>
      </c>
      <c r="Q377">
        <v>4.2616082424143842E-4</v>
      </c>
      <c r="R377">
        <v>8.18368459095495E-4</v>
      </c>
      <c r="S377">
        <v>6.9502420485689095E-2</v>
      </c>
      <c r="T377">
        <v>0.83661292508674245</v>
      </c>
      <c r="U377">
        <v>0</v>
      </c>
      <c r="V377">
        <v>9.0604144764546937E-2</v>
      </c>
      <c r="W377">
        <v>4.805251358200912E-2</v>
      </c>
      <c r="X377">
        <v>6.8601558292911051E-3</v>
      </c>
      <c r="Y377">
        <v>2.2273291705679006E-3</v>
      </c>
    </row>
    <row r="378" spans="1:25" x14ac:dyDescent="0.25">
      <c r="A378" s="1096"/>
      <c r="B378" s="1455">
        <v>128</v>
      </c>
      <c r="C378" s="1100">
        <v>0.99503190497860761</v>
      </c>
      <c r="D378" s="1100">
        <v>1.020033905507302</v>
      </c>
      <c r="E378" s="1100">
        <v>1.0083099381720828</v>
      </c>
      <c r="F378" s="1100">
        <v>1.0110339467324749</v>
      </c>
      <c r="G378" s="1100">
        <v>0.99541185546138589</v>
      </c>
      <c r="H378" s="1100">
        <v>0.97280776196551344</v>
      </c>
      <c r="I378" s="1100">
        <v>1.0119838656830424</v>
      </c>
      <c r="K378">
        <v>1.1534808569442165</v>
      </c>
      <c r="L378">
        <v>0</v>
      </c>
      <c r="M378">
        <v>7.6341557959630024E-4</v>
      </c>
      <c r="N378">
        <v>7.2031847765102824E-2</v>
      </c>
      <c r="O378">
        <v>1.032144950362557E-2</v>
      </c>
      <c r="P378">
        <v>1.3724525396979256E-2</v>
      </c>
      <c r="Q378">
        <v>4.5194097903861804E-4</v>
      </c>
      <c r="R378">
        <v>7.6167754038810231E-4</v>
      </c>
      <c r="S378">
        <v>7.2249994000692319E-2</v>
      </c>
      <c r="T378">
        <v>0.83621010430036702</v>
      </c>
      <c r="U378">
        <v>0</v>
      </c>
      <c r="V378">
        <v>9.2024559280193374E-2</v>
      </c>
      <c r="W378">
        <v>4.7087652012595529E-2</v>
      </c>
      <c r="X378">
        <v>7.3074865668261192E-3</v>
      </c>
      <c r="Y378">
        <v>2.0730351780027072E-3</v>
      </c>
    </row>
    <row r="379" spans="1:25" x14ac:dyDescent="0.25">
      <c r="A379" s="1096"/>
      <c r="B379" s="1455">
        <v>129</v>
      </c>
      <c r="C379" s="1100">
        <v>0.98467497988113439</v>
      </c>
      <c r="D379" s="1100">
        <v>1.0281830242354275</v>
      </c>
      <c r="E379" s="1100">
        <v>0.96888011413450681</v>
      </c>
      <c r="F379" s="1100">
        <v>1.0279974372194083</v>
      </c>
      <c r="G379" s="1100">
        <v>0.99177462099938207</v>
      </c>
      <c r="H379" s="1100">
        <v>0.97479817621561105</v>
      </c>
      <c r="I379" s="1100">
        <v>0.97332853758712579</v>
      </c>
      <c r="K379">
        <v>1.1652439549728151</v>
      </c>
      <c r="L379">
        <v>0</v>
      </c>
      <c r="M379">
        <v>8.36117722337669E-4</v>
      </c>
      <c r="N379">
        <v>7.0025112780404311E-2</v>
      </c>
      <c r="O379">
        <v>1.0383928984083805E-2</v>
      </c>
      <c r="P379">
        <v>1.3515818284688742E-2</v>
      </c>
      <c r="Q379">
        <v>4.3689816329985185E-4</v>
      </c>
      <c r="R379">
        <v>8.3421805174964826E-4</v>
      </c>
      <c r="S379">
        <v>6.9968999204674379E-2</v>
      </c>
      <c r="T379">
        <v>0.85293882536283117</v>
      </c>
      <c r="U379">
        <v>0</v>
      </c>
      <c r="V379">
        <v>9.2125095136323429E-2</v>
      </c>
      <c r="W379">
        <v>4.6871261026120777E-2</v>
      </c>
      <c r="X379">
        <v>6.7094491640207312E-3</v>
      </c>
      <c r="Y379">
        <v>2.2704665369556909E-3</v>
      </c>
    </row>
    <row r="380" spans="1:25" x14ac:dyDescent="0.25">
      <c r="A380" s="1096"/>
      <c r="B380" s="1455">
        <v>130</v>
      </c>
      <c r="C380" s="1100">
        <v>0.97451848534428587</v>
      </c>
      <c r="D380" s="1100">
        <v>0.99181544700138269</v>
      </c>
      <c r="E380" s="1100">
        <v>0.98547554195447729</v>
      </c>
      <c r="F380" s="1100">
        <v>0.98270000764563459</v>
      </c>
      <c r="G380" s="1100">
        <v>1.0184994886378209</v>
      </c>
      <c r="H380" s="1100">
        <v>0.99384398896177939</v>
      </c>
      <c r="I380" s="1100">
        <v>0.95969374078780056</v>
      </c>
      <c r="K380">
        <v>1.1367300759247487</v>
      </c>
      <c r="L380">
        <v>0</v>
      </c>
      <c r="M380">
        <v>8.4437076807983129E-4</v>
      </c>
      <c r="N380">
        <v>7.4361802567597807E-2</v>
      </c>
      <c r="O380">
        <v>1.0649951085546241E-2</v>
      </c>
      <c r="P380">
        <v>1.3210129845058535E-2</v>
      </c>
      <c r="Q380">
        <v>4.5572532720640176E-4</v>
      </c>
      <c r="R380">
        <v>8.424891106819369E-4</v>
      </c>
      <c r="S380">
        <v>7.1796250254830121E-2</v>
      </c>
      <c r="T380">
        <v>0.8142634031586824</v>
      </c>
      <c r="U380">
        <v>0</v>
      </c>
      <c r="V380">
        <v>9.3532538966979023E-2</v>
      </c>
      <c r="W380">
        <v>4.9276630563319275E-2</v>
      </c>
      <c r="X380">
        <v>6.8925481801111318E-3</v>
      </c>
      <c r="Y380">
        <v>2.2929776328155364E-3</v>
      </c>
    </row>
    <row r="381" spans="1:25" x14ac:dyDescent="0.25">
      <c r="A381" s="1096"/>
      <c r="B381" s="1455">
        <v>131</v>
      </c>
      <c r="C381" s="1100">
        <v>0.98042856015992252</v>
      </c>
      <c r="D381" s="1100">
        <v>1.0167015963020942</v>
      </c>
      <c r="E381" s="1100">
        <v>1.0090935825229244</v>
      </c>
      <c r="F381" s="1100">
        <v>1.0212854913709501</v>
      </c>
      <c r="G381" s="1100">
        <v>0.97548171188112653</v>
      </c>
      <c r="H381" s="1100">
        <v>1.0291461784512195</v>
      </c>
      <c r="I381" s="1100">
        <v>0.9827489339279224</v>
      </c>
      <c r="K381">
        <v>1.1724166222965462</v>
      </c>
      <c r="L381">
        <v>0</v>
      </c>
      <c r="M381">
        <v>8.1939564009658598E-4</v>
      </c>
      <c r="N381">
        <v>7.7506654795875582E-2</v>
      </c>
      <c r="O381">
        <v>1.048916604119025E-2</v>
      </c>
      <c r="P381">
        <v>1.3860235831697399E-2</v>
      </c>
      <c r="Q381">
        <v>4.5964489767974233E-4</v>
      </c>
      <c r="R381">
        <v>8.1763227532199133E-4</v>
      </c>
      <c r="S381">
        <v>7.3611389246201628E-2</v>
      </c>
      <c r="T381">
        <v>0.84463623422259326</v>
      </c>
      <c r="U381">
        <v>0</v>
      </c>
      <c r="V381">
        <v>9.1543758990843299E-2</v>
      </c>
      <c r="W381">
        <v>5.0643134908580405E-2</v>
      </c>
      <c r="X381">
        <v>7.4428412056400514E-3</v>
      </c>
      <c r="Y381">
        <v>2.225325521019339E-3</v>
      </c>
    </row>
    <row r="382" spans="1:25" x14ac:dyDescent="0.25">
      <c r="A382" s="1096"/>
      <c r="B382" s="1455">
        <v>132</v>
      </c>
      <c r="C382" s="1100">
        <v>0.98583671063850919</v>
      </c>
      <c r="D382" s="1100">
        <v>0.99745247979031537</v>
      </c>
      <c r="E382" s="1100">
        <v>1.011596158643679</v>
      </c>
      <c r="F382" s="1100">
        <v>0.97442411135913676</v>
      </c>
      <c r="G382" s="1100">
        <v>1.0283510071079511</v>
      </c>
      <c r="H382" s="1100">
        <v>0.99795805898376611</v>
      </c>
      <c r="I382" s="1100">
        <v>0.96022977141634192</v>
      </c>
      <c r="K382">
        <v>1.1288832740934982</v>
      </c>
      <c r="L382">
        <v>0</v>
      </c>
      <c r="M382">
        <v>7.9214063250542162E-4</v>
      </c>
      <c r="N382">
        <v>7.5491749914632381E-2</v>
      </c>
      <c r="O382">
        <v>1.051252060798724E-2</v>
      </c>
      <c r="P382">
        <v>1.3344091337150841E-2</v>
      </c>
      <c r="Q382">
        <v>4.6182198032104782E-4</v>
      </c>
      <c r="R382">
        <v>7.9038264582997485E-4</v>
      </c>
      <c r="S382">
        <v>7.0998149625546361E-2</v>
      </c>
      <c r="T382">
        <v>0.80571972500484279</v>
      </c>
      <c r="U382">
        <v>0</v>
      </c>
      <c r="V382">
        <v>9.3665457589168916E-2</v>
      </c>
      <c r="W382">
        <v>4.9253870313212815E-2</v>
      </c>
      <c r="X382">
        <v>7.2864846949308674E-3</v>
      </c>
      <c r="Y382">
        <v>2.1511610123800184E-3</v>
      </c>
    </row>
    <row r="383" spans="1:25" x14ac:dyDescent="0.25">
      <c r="A383" s="1096"/>
      <c r="B383" s="1455">
        <v>133</v>
      </c>
      <c r="C383" s="1100">
        <v>1.0114707319200791</v>
      </c>
      <c r="D383" s="1100">
        <v>1.007830506830977</v>
      </c>
      <c r="E383" s="1100">
        <v>1.0165302810593688</v>
      </c>
      <c r="F383" s="1100">
        <v>0.96598450520191825</v>
      </c>
      <c r="G383" s="1100">
        <v>0.99810310144790004</v>
      </c>
      <c r="H383" s="1100">
        <v>0.95599966541604453</v>
      </c>
      <c r="I383" s="1100">
        <v>0.98923262166020876</v>
      </c>
      <c r="K383">
        <v>1.1088895628080302</v>
      </c>
      <c r="L383">
        <v>0</v>
      </c>
      <c r="M383">
        <v>7.2903222697364952E-4</v>
      </c>
      <c r="N383">
        <v>7.0512952276180582E-2</v>
      </c>
      <c r="O383">
        <v>1.020535924492765E-2</v>
      </c>
      <c r="P383">
        <v>1.324134716257825E-2</v>
      </c>
      <c r="Q383">
        <v>4.505399736134555E-4</v>
      </c>
      <c r="R383">
        <v>7.2734328563987154E-4</v>
      </c>
      <c r="S383">
        <v>6.9252004740637252E-2</v>
      </c>
      <c r="T383">
        <v>0.79842790918001794</v>
      </c>
      <c r="U383">
        <v>0</v>
      </c>
      <c r="V383">
        <v>9.1736038792567989E-2</v>
      </c>
      <c r="W383">
        <v>4.5872267678552313E-2</v>
      </c>
      <c r="X383">
        <v>7.2132440454248867E-3</v>
      </c>
      <c r="Y383">
        <v>1.9795886548620587E-3</v>
      </c>
    </row>
    <row r="384" spans="1:25" x14ac:dyDescent="0.25">
      <c r="A384" s="1096"/>
      <c r="B384" s="1455">
        <v>134</v>
      </c>
      <c r="C384" s="1100">
        <v>0.97933951257125229</v>
      </c>
      <c r="D384" s="1100">
        <v>0.98552959099277548</v>
      </c>
      <c r="E384" s="1100">
        <v>1.0204856340016721</v>
      </c>
      <c r="F384" s="1100">
        <v>1.0156410601428483</v>
      </c>
      <c r="G384" s="1100">
        <v>0.97831352980042596</v>
      </c>
      <c r="H384" s="1100">
        <v>0.99218359070555751</v>
      </c>
      <c r="I384" s="1100">
        <v>1.0195093472121419</v>
      </c>
      <c r="K384">
        <v>1.1680765336421286</v>
      </c>
      <c r="L384">
        <v>0</v>
      </c>
      <c r="M384">
        <v>7.8201461641543674E-4</v>
      </c>
      <c r="N384">
        <v>7.6552006774952483E-2</v>
      </c>
      <c r="O384">
        <v>1.0636283905002854E-2</v>
      </c>
      <c r="P384">
        <v>1.393877708524967E-2</v>
      </c>
      <c r="Q384">
        <v>4.7141574713508886E-4</v>
      </c>
      <c r="R384">
        <v>7.8026900164450202E-4</v>
      </c>
      <c r="S384">
        <v>7.6116397214517781E-2</v>
      </c>
      <c r="T384">
        <v>0.83920764651319202</v>
      </c>
      <c r="U384">
        <v>0</v>
      </c>
      <c r="V384">
        <v>9.169501351879504E-2</v>
      </c>
      <c r="W384">
        <v>4.9685734460018567E-2</v>
      </c>
      <c r="X384">
        <v>7.6513690311663862E-3</v>
      </c>
      <c r="Y384">
        <v>2.1236350068690709E-3</v>
      </c>
    </row>
    <row r="385" spans="1:25" x14ac:dyDescent="0.25">
      <c r="A385" s="1096"/>
      <c r="B385" s="1455">
        <v>135</v>
      </c>
      <c r="C385" s="1100">
        <v>0.9917765771840874</v>
      </c>
      <c r="D385" s="1100">
        <v>0.99580396101055957</v>
      </c>
      <c r="E385" s="1100">
        <v>1.0352067107532725</v>
      </c>
      <c r="F385" s="1100">
        <v>0.97778955026981507</v>
      </c>
      <c r="G385" s="1100">
        <v>1.0236520800989386</v>
      </c>
      <c r="H385" s="1100">
        <v>1.0120374959252234</v>
      </c>
      <c r="I385" s="1100">
        <v>0.95495383013361279</v>
      </c>
      <c r="K385">
        <v>1.1333869752130128</v>
      </c>
      <c r="L385">
        <v>0</v>
      </c>
      <c r="M385">
        <v>7.6071028936151354E-4</v>
      </c>
      <c r="N385">
        <v>7.7849552530447064E-2</v>
      </c>
      <c r="O385">
        <v>1.0464308636031159E-2</v>
      </c>
      <c r="P385">
        <v>1.3587036180315828E-2</v>
      </c>
      <c r="Q385">
        <v>4.7060139874767248E-4</v>
      </c>
      <c r="R385">
        <v>7.5904554226903661E-4</v>
      </c>
      <c r="S385">
        <v>7.0824431049155048E-2</v>
      </c>
      <c r="T385">
        <v>0.80699159260333309</v>
      </c>
      <c r="U385">
        <v>0</v>
      </c>
      <c r="V385">
        <v>9.3317699064989476E-2</v>
      </c>
      <c r="W385">
        <v>5.0097240589248075E-2</v>
      </c>
      <c r="X385">
        <v>7.7203061610773768E-3</v>
      </c>
      <c r="Y385">
        <v>2.0658717467605565E-3</v>
      </c>
    </row>
    <row r="386" spans="1:25" x14ac:dyDescent="0.25">
      <c r="A386" s="1096"/>
      <c r="B386" s="1455">
        <v>136</v>
      </c>
      <c r="C386" s="1100">
        <v>1.0262422506137348</v>
      </c>
      <c r="D386" s="1100">
        <v>0.98738068743775387</v>
      </c>
      <c r="E386" s="1100">
        <v>1.0043572051992864</v>
      </c>
      <c r="F386" s="1100">
        <v>1.026294150489361</v>
      </c>
      <c r="G386" s="1100">
        <v>1.0124074596113073</v>
      </c>
      <c r="H386" s="1100">
        <v>0.99457870373730861</v>
      </c>
      <c r="I386" s="1100">
        <v>0.99922154205930713</v>
      </c>
      <c r="K386">
        <v>1.16537655143423</v>
      </c>
      <c r="L386">
        <v>0</v>
      </c>
      <c r="M386">
        <v>7.729948465246743E-4</v>
      </c>
      <c r="N386">
        <v>7.2073874484322564E-2</v>
      </c>
      <c r="O386">
        <v>1.0137373949475217E-2</v>
      </c>
      <c r="P386">
        <v>1.3845754675290109E-2</v>
      </c>
      <c r="Q386">
        <v>4.4212695021087308E-4</v>
      </c>
      <c r="R386">
        <v>7.7127352095263926E-4</v>
      </c>
      <c r="S386">
        <v>7.120034115195166E-2</v>
      </c>
      <c r="T386">
        <v>0.84909931451168208</v>
      </c>
      <c r="U386">
        <v>0</v>
      </c>
      <c r="V386">
        <v>9.1992978941416212E-2</v>
      </c>
      <c r="W386">
        <v>4.7225389276955229E-2</v>
      </c>
      <c r="X386">
        <v>7.2619665447118146E-3</v>
      </c>
      <c r="Y386">
        <v>2.0991522737852332E-3</v>
      </c>
    </row>
    <row r="387" spans="1:25" x14ac:dyDescent="0.25">
      <c r="A387" s="1096"/>
      <c r="B387" s="1455">
        <v>137</v>
      </c>
      <c r="C387" s="1100">
        <v>1.0191067750888256</v>
      </c>
      <c r="D387" s="1100">
        <v>0.97542994743668465</v>
      </c>
      <c r="E387" s="1100">
        <v>1.039951340237482</v>
      </c>
      <c r="F387" s="1100">
        <v>1.0172510307946541</v>
      </c>
      <c r="G387" s="1100">
        <v>1.0012883425488868</v>
      </c>
      <c r="H387" s="1100">
        <v>0.97521726298233447</v>
      </c>
      <c r="I387" s="1100">
        <v>0.9898312875124764</v>
      </c>
      <c r="K387">
        <v>1.1576425392193983</v>
      </c>
      <c r="L387">
        <v>0</v>
      </c>
      <c r="M387">
        <v>7.1221440460518049E-4</v>
      </c>
      <c r="N387">
        <v>7.3929862502977367E-2</v>
      </c>
      <c r="O387">
        <v>1.02697827966934E-2</v>
      </c>
      <c r="P387">
        <v>1.4062396942405573E-2</v>
      </c>
      <c r="Q387">
        <v>4.6401578517374007E-4</v>
      </c>
      <c r="R387">
        <v>7.1059693938652676E-4</v>
      </c>
      <c r="S387">
        <v>7.0739123332043519E-2</v>
      </c>
      <c r="T387">
        <v>0.83924637834299165</v>
      </c>
      <c r="U387">
        <v>0</v>
      </c>
      <c r="V387">
        <v>9.1692371037051162E-2</v>
      </c>
      <c r="W387">
        <v>4.7444793413752996E-2</v>
      </c>
      <c r="X387">
        <v>7.8614219107340441E-3</v>
      </c>
      <c r="Y387">
        <v>1.9340106207920125E-3</v>
      </c>
    </row>
    <row r="388" spans="1:25" x14ac:dyDescent="0.25">
      <c r="A388" s="1096"/>
      <c r="B388" s="1455">
        <v>138</v>
      </c>
      <c r="C388" s="1100">
        <v>1.0014191168851319</v>
      </c>
      <c r="D388" s="1100">
        <v>0.95878551732205153</v>
      </c>
      <c r="E388" s="1100">
        <v>0.98553142405657557</v>
      </c>
      <c r="F388" s="1100">
        <v>1.0146247940755031</v>
      </c>
      <c r="G388" s="1100">
        <v>0.96066071729328528</v>
      </c>
      <c r="H388" s="1100">
        <v>0.98846221955313729</v>
      </c>
      <c r="I388" s="1100">
        <v>1.0211607050762979</v>
      </c>
      <c r="K388">
        <v>1.1615742330510588</v>
      </c>
      <c r="L388">
        <v>0</v>
      </c>
      <c r="M388">
        <v>8.2829070202190878E-4</v>
      </c>
      <c r="N388">
        <v>7.2957110460543845E-2</v>
      </c>
      <c r="O388">
        <v>1.0505248838988505E-2</v>
      </c>
      <c r="P388">
        <v>1.3573662274702599E-2</v>
      </c>
      <c r="Q388">
        <v>4.4955878444464414E-4</v>
      </c>
      <c r="R388">
        <v>8.2643482886818266E-4</v>
      </c>
      <c r="S388">
        <v>7.5422198808900526E-2</v>
      </c>
      <c r="T388">
        <v>0.84071244158916147</v>
      </c>
      <c r="U388">
        <v>0</v>
      </c>
      <c r="V388">
        <v>9.0376227442898999E-2</v>
      </c>
      <c r="W388">
        <v>4.8344172360841833E-2</v>
      </c>
      <c r="X388">
        <v>6.9861851937177075E-3</v>
      </c>
      <c r="Y388">
        <v>2.249283170011075E-3</v>
      </c>
    </row>
    <row r="389" spans="1:25" x14ac:dyDescent="0.25">
      <c r="A389" s="1096"/>
      <c r="B389" s="1455">
        <v>139</v>
      </c>
      <c r="C389" s="1100">
        <v>0.99914057860574967</v>
      </c>
      <c r="D389" s="1100">
        <v>1.0169786157626537</v>
      </c>
      <c r="E389" s="1100">
        <v>0.99885341581401699</v>
      </c>
      <c r="F389" s="1100">
        <v>1.0179837561487908</v>
      </c>
      <c r="G389" s="1100">
        <v>0.99100814245066038</v>
      </c>
      <c r="H389" s="1100">
        <v>0.98293915587590275</v>
      </c>
      <c r="I389" s="1100">
        <v>1.0172040665399622</v>
      </c>
      <c r="K389">
        <v>1.160130289550676</v>
      </c>
      <c r="L389">
        <v>0</v>
      </c>
      <c r="M389">
        <v>7.8436078090057175E-4</v>
      </c>
      <c r="N389">
        <v>7.1925850820225998E-2</v>
      </c>
      <c r="O389">
        <v>1.028826814608782E-2</v>
      </c>
      <c r="P389">
        <v>1.3719277275217644E-2</v>
      </c>
      <c r="Q389">
        <v>4.4623464281356811E-4</v>
      </c>
      <c r="R389">
        <v>7.8259346244631859E-4</v>
      </c>
      <c r="S389">
        <v>7.2841534615014081E-2</v>
      </c>
      <c r="T389">
        <v>0.84259439000702618</v>
      </c>
      <c r="U389">
        <v>0</v>
      </c>
      <c r="V389">
        <v>9.1732377687613137E-2</v>
      </c>
      <c r="W389">
        <v>4.7282619673389974E-2</v>
      </c>
      <c r="X389">
        <v>7.1715425788286633E-3</v>
      </c>
      <c r="Y389">
        <v>2.1299614229133173E-3</v>
      </c>
    </row>
    <row r="390" spans="1:25" x14ac:dyDescent="0.25">
      <c r="A390" s="1096"/>
      <c r="B390" s="1455">
        <v>140</v>
      </c>
      <c r="C390" s="1100">
        <v>1.0103657077295751</v>
      </c>
      <c r="D390" s="1100">
        <v>1.0289044921278661</v>
      </c>
      <c r="E390" s="1100">
        <v>0.97070543341550175</v>
      </c>
      <c r="F390" s="1100">
        <v>0.98034516867042021</v>
      </c>
      <c r="G390" s="1100">
        <v>0.99517313716568179</v>
      </c>
      <c r="H390" s="1100">
        <v>0.96808814314148561</v>
      </c>
      <c r="I390" s="1100">
        <v>0.98919038458103992</v>
      </c>
      <c r="K390">
        <v>1.1193959852176223</v>
      </c>
      <c r="L390">
        <v>0</v>
      </c>
      <c r="M390">
        <v>8.0597871943510117E-4</v>
      </c>
      <c r="N390">
        <v>6.7873997852298223E-2</v>
      </c>
      <c r="O390">
        <v>1.0117637884114523E-2</v>
      </c>
      <c r="P390">
        <v>1.2986714227951496E-2</v>
      </c>
      <c r="Q390">
        <v>4.2648912531466642E-4</v>
      </c>
      <c r="R390">
        <v>8.0413483264933378E-4</v>
      </c>
      <c r="S390">
        <v>6.9014068842353712E-2</v>
      </c>
      <c r="T390">
        <v>0.81328108635871232</v>
      </c>
      <c r="U390">
        <v>0</v>
      </c>
      <c r="V390">
        <v>9.1631043460613237E-2</v>
      </c>
      <c r="W390">
        <v>4.5380961422890366E-2</v>
      </c>
      <c r="X390">
        <v>6.4972399986630881E-3</v>
      </c>
      <c r="Y390">
        <v>2.1885899314951461E-3</v>
      </c>
    </row>
    <row r="391" spans="1:25" x14ac:dyDescent="0.25">
      <c r="A391" s="1096"/>
      <c r="B391" s="1455">
        <v>141</v>
      </c>
      <c r="C391" s="1100">
        <v>0.99273183444707624</v>
      </c>
      <c r="D391" s="1100">
        <v>0.95937584217298766</v>
      </c>
      <c r="E391" s="1100">
        <v>0.97684215024906884</v>
      </c>
      <c r="F391" s="1100">
        <v>0.99208488472694023</v>
      </c>
      <c r="G391" s="1100">
        <v>0.9748286744822191</v>
      </c>
      <c r="H391" s="1100">
        <v>0.99599690297847898</v>
      </c>
      <c r="I391" s="1100">
        <v>1.0039820287756933</v>
      </c>
      <c r="K391">
        <v>1.144780642351207</v>
      </c>
      <c r="L391">
        <v>0</v>
      </c>
      <c r="M391">
        <v>8.5696361930364816E-4</v>
      </c>
      <c r="N391">
        <v>7.3525443614179703E-2</v>
      </c>
      <c r="O391">
        <v>1.0591666368105006E-2</v>
      </c>
      <c r="P391">
        <v>1.3248372884336505E-2</v>
      </c>
      <c r="Q391">
        <v>4.492740950786111E-4</v>
      </c>
      <c r="R391">
        <v>8.5505802706589403E-4</v>
      </c>
      <c r="S391">
        <v>7.5083215959210373E-2</v>
      </c>
      <c r="T391">
        <v>0.82261196557850802</v>
      </c>
      <c r="U391">
        <v>0</v>
      </c>
      <c r="V391">
        <v>9.1197264965534014E-2</v>
      </c>
      <c r="W391">
        <v>4.8976829967530396E-2</v>
      </c>
      <c r="X391">
        <v>6.7713284310896371E-3</v>
      </c>
      <c r="Y391">
        <v>2.3271860798704958E-3</v>
      </c>
    </row>
    <row r="392" spans="1:25" x14ac:dyDescent="0.25">
      <c r="A392" s="1096"/>
      <c r="B392" s="1455">
        <v>142</v>
      </c>
      <c r="C392" s="1100">
        <v>0.99575726173849566</v>
      </c>
      <c r="D392" s="1100">
        <v>0.96421080810529358</v>
      </c>
      <c r="E392" s="1100">
        <v>1.0076737776388294</v>
      </c>
      <c r="F392" s="1100">
        <v>0.99412025482257615</v>
      </c>
      <c r="G392" s="1100">
        <v>0.99279136985218996</v>
      </c>
      <c r="H392" s="1100">
        <v>1.0176704497612927</v>
      </c>
      <c r="I392" s="1100">
        <v>0.98359561921884286</v>
      </c>
      <c r="K392">
        <v>1.1496351815293826</v>
      </c>
      <c r="L392">
        <v>0</v>
      </c>
      <c r="M392">
        <v>8.1728875445023297E-4</v>
      </c>
      <c r="N392">
        <v>7.6974793048562751E-2</v>
      </c>
      <c r="O392">
        <v>1.0548543910924212E-2</v>
      </c>
      <c r="P392">
        <v>1.354998375741745E-2</v>
      </c>
      <c r="Q392">
        <v>4.6159070765710984E-4</v>
      </c>
      <c r="R392">
        <v>8.1551009035999832E-4</v>
      </c>
      <c r="S392">
        <v>7.4065857312200292E-2</v>
      </c>
      <c r="T392">
        <v>0.82226276408587518</v>
      </c>
      <c r="U392">
        <v>0</v>
      </c>
      <c r="V392">
        <v>9.1894290359098393E-2</v>
      </c>
      <c r="W392">
        <v>5.0337794570695406E-2</v>
      </c>
      <c r="X392">
        <v>7.3217928079121015E-3</v>
      </c>
      <c r="Y392">
        <v>2.2195496331308792E-3</v>
      </c>
    </row>
    <row r="393" spans="1:25" x14ac:dyDescent="0.25">
      <c r="A393" s="1096"/>
      <c r="B393" s="1455">
        <v>143</v>
      </c>
      <c r="C393" s="1100">
        <v>1.0297611400355642</v>
      </c>
      <c r="D393" s="1100">
        <v>1.0348559846635041</v>
      </c>
      <c r="E393" s="1100">
        <v>0.99692887022369636</v>
      </c>
      <c r="F393" s="1100">
        <v>1.0032708967814923</v>
      </c>
      <c r="G393" s="1100">
        <v>1.0180827052301695</v>
      </c>
      <c r="H393" s="1100">
        <v>0.98922899908076456</v>
      </c>
      <c r="I393" s="1100">
        <v>1.0275320387156133</v>
      </c>
      <c r="K393">
        <v>1.1420615857030647</v>
      </c>
      <c r="L393">
        <v>0</v>
      </c>
      <c r="M393">
        <v>7.6362847074917545E-4</v>
      </c>
      <c r="N393">
        <v>6.9619660907066519E-2</v>
      </c>
      <c r="O393">
        <v>9.9123975007850973E-3</v>
      </c>
      <c r="P393">
        <v>1.351638441555939E-2</v>
      </c>
      <c r="Q393">
        <v>4.2910007243153735E-4</v>
      </c>
      <c r="R393">
        <v>7.6191880641914716E-4</v>
      </c>
      <c r="S393">
        <v>7.1006500262804556E-2</v>
      </c>
      <c r="T393">
        <v>0.83054438553384025</v>
      </c>
      <c r="U393">
        <v>0</v>
      </c>
      <c r="V393">
        <v>9.2152129528799323E-2</v>
      </c>
      <c r="W393">
        <v>4.5819043577550504E-2</v>
      </c>
      <c r="X393">
        <v>6.9900017439519062E-3</v>
      </c>
      <c r="Y393">
        <v>2.0736918246058848E-3</v>
      </c>
    </row>
    <row r="394" spans="1:25" x14ac:dyDescent="0.25">
      <c r="A394" s="1096"/>
      <c r="B394" s="1455">
        <v>144</v>
      </c>
      <c r="C394" s="1100">
        <v>0.98825440182398416</v>
      </c>
      <c r="D394" s="1100">
        <v>1.0117937948928384</v>
      </c>
      <c r="E394" s="1100">
        <v>0.9797236369001493</v>
      </c>
      <c r="F394" s="1100">
        <v>0.97261015238811432</v>
      </c>
      <c r="G394" s="1100">
        <v>1.004582542812396</v>
      </c>
      <c r="H394" s="1100">
        <v>1.0281861940415582</v>
      </c>
      <c r="I394" s="1100">
        <v>1.0296539427995812</v>
      </c>
      <c r="K394">
        <v>1.1331470840148978</v>
      </c>
      <c r="L394">
        <v>0</v>
      </c>
      <c r="M394">
        <v>8.6479091568268001E-4</v>
      </c>
      <c r="N394">
        <v>7.4852018829008493E-2</v>
      </c>
      <c r="O394">
        <v>1.0416592039077851E-2</v>
      </c>
      <c r="P394">
        <v>1.3097559315558916E-2</v>
      </c>
      <c r="Q394">
        <v>4.431450393107377E-4</v>
      </c>
      <c r="R394">
        <v>8.6292812126127424E-4</v>
      </c>
      <c r="S394">
        <v>7.6626704732047773E-2</v>
      </c>
      <c r="T394">
        <v>0.80627649202713614</v>
      </c>
      <c r="U394">
        <v>0</v>
      </c>
      <c r="V394">
        <v>9.258323785583468E-2</v>
      </c>
      <c r="W394">
        <v>4.977369408122536E-2</v>
      </c>
      <c r="X394">
        <v>6.7308970082246688E-3</v>
      </c>
      <c r="Y394">
        <v>2.348605881894466E-3</v>
      </c>
    </row>
    <row r="395" spans="1:25" x14ac:dyDescent="0.25">
      <c r="A395" s="1096"/>
      <c r="B395" s="1455">
        <v>145</v>
      </c>
      <c r="C395" s="1100">
        <v>0.99993997120923428</v>
      </c>
      <c r="D395" s="1100">
        <v>0.98957156523730727</v>
      </c>
      <c r="E395" s="1100">
        <v>1.0132606624335094</v>
      </c>
      <c r="F395" s="1100">
        <v>1.0035653103081035</v>
      </c>
      <c r="G395" s="1100">
        <v>1.0293842694642645</v>
      </c>
      <c r="H395" s="1100">
        <v>1.0155488224225595</v>
      </c>
      <c r="I395" s="1100">
        <v>0.96513970726534781</v>
      </c>
      <c r="K395">
        <v>1.1542193753531373</v>
      </c>
      <c r="L395">
        <v>0</v>
      </c>
      <c r="M395">
        <v>7.9450660904667025E-4</v>
      </c>
      <c r="N395">
        <v>7.6101540195126008E-2</v>
      </c>
      <c r="O395">
        <v>1.039773672234769E-2</v>
      </c>
      <c r="P395">
        <v>1.3691095783551379E-2</v>
      </c>
      <c r="Q395">
        <v>4.5753909811801726E-4</v>
      </c>
      <c r="R395">
        <v>7.9277391339629012E-4</v>
      </c>
      <c r="S395">
        <v>7.1337635099345542E-2</v>
      </c>
      <c r="T395">
        <v>0.82970571989843989</v>
      </c>
      <c r="U395">
        <v>0</v>
      </c>
      <c r="V395">
        <v>9.335523033708816E-2</v>
      </c>
      <c r="W395">
        <v>4.9603105030158592E-2</v>
      </c>
      <c r="X395">
        <v>7.4138366301968487E-3</v>
      </c>
      <c r="Y395">
        <v>2.1576692544143868E-3</v>
      </c>
    </row>
    <row r="396" spans="1:25" x14ac:dyDescent="0.25">
      <c r="A396" s="1096"/>
      <c r="B396" s="1455">
        <v>146</v>
      </c>
      <c r="C396" s="1100">
        <v>0.96604615805385652</v>
      </c>
      <c r="D396" s="1100">
        <v>1.0244324592239902</v>
      </c>
      <c r="E396" s="1100">
        <v>1.0010849675363807</v>
      </c>
      <c r="F396" s="1100">
        <v>1.0334088709784017</v>
      </c>
      <c r="G396" s="1100">
        <v>1.0419568773639729</v>
      </c>
      <c r="H396" s="1100">
        <v>0.98822415278302367</v>
      </c>
      <c r="I396" s="1100">
        <v>1.0333660751927507</v>
      </c>
      <c r="K396">
        <v>1.1848935431445493</v>
      </c>
      <c r="L396">
        <v>0</v>
      </c>
      <c r="M396">
        <v>8.094583529034894E-4</v>
      </c>
      <c r="N396">
        <v>7.4730331891118093E-2</v>
      </c>
      <c r="O396">
        <v>1.0610431369827755E-2</v>
      </c>
      <c r="P396">
        <v>1.4005265876241797E-2</v>
      </c>
      <c r="Q396">
        <v>4.6124135105153657E-4</v>
      </c>
      <c r="R396">
        <v>8.0764423870362245E-4</v>
      </c>
      <c r="S396">
        <v>7.647777988845815E-2</v>
      </c>
      <c r="T396">
        <v>0.85520922005137712</v>
      </c>
      <c r="U396">
        <v>0</v>
      </c>
      <c r="V396">
        <v>9.4760660264957386E-2</v>
      </c>
      <c r="W396">
        <v>4.9061114473639936E-2</v>
      </c>
      <c r="X396">
        <v>7.3811707141773764E-3</v>
      </c>
      <c r="Y396">
        <v>2.1981413778995257E-3</v>
      </c>
    </row>
    <row r="397" spans="1:25" x14ac:dyDescent="0.25">
      <c r="A397" s="1096"/>
      <c r="B397" s="1455">
        <v>147</v>
      </c>
      <c r="C397" s="1100">
        <v>0.99561681968647253</v>
      </c>
      <c r="D397" s="1100">
        <v>1.001231997950502</v>
      </c>
      <c r="E397" s="1100">
        <v>1.001158619582408</v>
      </c>
      <c r="F397" s="1100">
        <v>0.98918472537497681</v>
      </c>
      <c r="G397" s="1100">
        <v>0.97389844560017624</v>
      </c>
      <c r="H397" s="1100">
        <v>1.0186001676231409</v>
      </c>
      <c r="I397" s="1100">
        <v>0.99767884443556853</v>
      </c>
      <c r="K397">
        <v>1.1420061132853501</v>
      </c>
      <c r="L397">
        <v>0</v>
      </c>
      <c r="M397">
        <v>8.1688613210250457E-4</v>
      </c>
      <c r="N397">
        <v>7.5437909669037018E-2</v>
      </c>
      <c r="O397">
        <v>1.039008616540819E-2</v>
      </c>
      <c r="P397">
        <v>1.3418999577179626E-2</v>
      </c>
      <c r="Q397">
        <v>4.5169624117016855E-4</v>
      </c>
      <c r="R397">
        <v>8.1510996689797797E-4</v>
      </c>
      <c r="S397">
        <v>7.3729603808950717E-2</v>
      </c>
      <c r="T397">
        <v>0.81860620655090699</v>
      </c>
      <c r="U397">
        <v>0</v>
      </c>
      <c r="V397">
        <v>9.1089044334782238E-2</v>
      </c>
      <c r="W397">
        <v>4.9523479448340214E-2</v>
      </c>
      <c r="X397">
        <v>7.1424030258109483E-3</v>
      </c>
      <c r="Y397">
        <v>2.2184606289679227E-3</v>
      </c>
    </row>
    <row r="398" spans="1:25" x14ac:dyDescent="0.25">
      <c r="A398" s="1096"/>
      <c r="B398" s="1455">
        <v>148</v>
      </c>
      <c r="C398" s="1100">
        <v>1.0041725552130671</v>
      </c>
      <c r="D398" s="1100">
        <v>0.97374549446086467</v>
      </c>
      <c r="E398" s="1100">
        <v>0.96806075939012415</v>
      </c>
      <c r="F398" s="1100">
        <v>0.98707948812930579</v>
      </c>
      <c r="G398" s="1100">
        <v>0.96472121891280793</v>
      </c>
      <c r="H398" s="1100">
        <v>1.0132276021932727</v>
      </c>
      <c r="I398" s="1100">
        <v>0.96414112852676681</v>
      </c>
      <c r="K398">
        <v>1.1354472459829592</v>
      </c>
      <c r="L398">
        <v>0</v>
      </c>
      <c r="M398">
        <v>8.7242622976112249E-4</v>
      </c>
      <c r="N398">
        <v>7.2891190201401918E-2</v>
      </c>
      <c r="O398">
        <v>1.0406029310185876E-2</v>
      </c>
      <c r="P398">
        <v>1.30535986604777E-2</v>
      </c>
      <c r="Q398">
        <v>4.3746120698777956E-4</v>
      </c>
      <c r="R398">
        <v>8.7051924474820038E-4</v>
      </c>
      <c r="S398">
        <v>7.1408972555468186E-2</v>
      </c>
      <c r="T398">
        <v>0.81904319995820019</v>
      </c>
      <c r="U398">
        <v>0</v>
      </c>
      <c r="V398">
        <v>9.0479358789688838E-2</v>
      </c>
      <c r="W398">
        <v>4.8814034386649705E-2</v>
      </c>
      <c r="X398">
        <v>6.5460414812983326E-3</v>
      </c>
      <c r="Y398">
        <v>2.3692664176126941E-3</v>
      </c>
    </row>
    <row r="399" spans="1:25" x14ac:dyDescent="0.25">
      <c r="A399" s="1096"/>
      <c r="B399" s="1455">
        <v>149</v>
      </c>
      <c r="C399" s="1100">
        <v>1.0223842620087624</v>
      </c>
      <c r="D399" s="1100">
        <v>1.0019699058745812</v>
      </c>
      <c r="E399" s="1100">
        <v>1.0232413437804699</v>
      </c>
      <c r="F399" s="1100">
        <v>0.9673273688164008</v>
      </c>
      <c r="G399" s="1100">
        <v>0.96158082032106296</v>
      </c>
      <c r="H399" s="1100">
        <v>1.0014260316680998</v>
      </c>
      <c r="I399" s="1100">
        <v>1.0009289914843087</v>
      </c>
      <c r="K399">
        <v>1.1151227312327321</v>
      </c>
      <c r="L399">
        <v>0</v>
      </c>
      <c r="M399">
        <v>7.467857292928025E-4</v>
      </c>
      <c r="N399">
        <v>7.3715132218614393E-2</v>
      </c>
      <c r="O399">
        <v>1.012215510004834E-2</v>
      </c>
      <c r="P399">
        <v>1.3320015141363748E-2</v>
      </c>
      <c r="Q399">
        <v>4.498582754163833E-4</v>
      </c>
      <c r="R399">
        <v>7.4513413751717381E-4</v>
      </c>
      <c r="S399">
        <v>7.1347916900909469E-2</v>
      </c>
      <c r="T399">
        <v>0.79911223959423572</v>
      </c>
      <c r="U399">
        <v>0</v>
      </c>
      <c r="V399">
        <v>8.9914574902822911E-2</v>
      </c>
      <c r="W399">
        <v>4.7767512094552426E-2</v>
      </c>
      <c r="X399">
        <v>7.3469691076238266E-3</v>
      </c>
      <c r="Y399">
        <v>2.0280094889193298E-3</v>
      </c>
    </row>
    <row r="400" spans="1:25" x14ac:dyDescent="0.25">
      <c r="A400" s="1096"/>
      <c r="B400" s="1455">
        <v>150</v>
      </c>
      <c r="C400" s="1100">
        <v>0.99463684183990075</v>
      </c>
      <c r="D400" s="1100">
        <v>1.0309719087817399</v>
      </c>
      <c r="E400" s="1100">
        <v>0.99822443994285226</v>
      </c>
      <c r="F400" s="1100">
        <v>0.99475566754196598</v>
      </c>
      <c r="G400" s="1100">
        <v>0.99244624579036977</v>
      </c>
      <c r="H400" s="1100">
        <v>1.0111155151224054</v>
      </c>
      <c r="I400" s="1100">
        <v>0.99675418852755082</v>
      </c>
      <c r="K400">
        <v>1.1435515050133418</v>
      </c>
      <c r="L400">
        <v>0</v>
      </c>
      <c r="M400">
        <v>8.0713197210334172E-4</v>
      </c>
      <c r="N400">
        <v>7.3878088852385837E-2</v>
      </c>
      <c r="O400">
        <v>1.02783094540698E-2</v>
      </c>
      <c r="P400">
        <v>1.344710143277042E-2</v>
      </c>
      <c r="Q400">
        <v>4.4552071270334694E-4</v>
      </c>
      <c r="R400">
        <v>8.0536402464401549E-4</v>
      </c>
      <c r="S400">
        <v>7.2332723894975595E-2</v>
      </c>
      <c r="T400">
        <v>0.82340974276378387</v>
      </c>
      <c r="U400">
        <v>0</v>
      </c>
      <c r="V400">
        <v>9.190607661961453E-2</v>
      </c>
      <c r="W400">
        <v>4.8584161738228125E-2</v>
      </c>
      <c r="X400">
        <v>7.0796121053667517E-3</v>
      </c>
      <c r="Y400">
        <v>2.1919353869016387E-3</v>
      </c>
    </row>
    <row r="401" spans="1:25" x14ac:dyDescent="0.25">
      <c r="A401" s="1096"/>
      <c r="B401" s="1455">
        <v>151</v>
      </c>
      <c r="C401" s="1100">
        <v>1.0255165032854685</v>
      </c>
      <c r="D401" s="1100">
        <v>1.0389385628040582</v>
      </c>
      <c r="E401" s="1100">
        <v>0.96607409193644611</v>
      </c>
      <c r="F401" s="1100">
        <v>0.99755224940377618</v>
      </c>
      <c r="G401" s="1100">
        <v>0.99646186916133095</v>
      </c>
      <c r="H401" s="1100">
        <v>1.030540684789494</v>
      </c>
      <c r="I401" s="1100">
        <v>0.9776345454645653</v>
      </c>
      <c r="K401">
        <v>1.1386171788613608</v>
      </c>
      <c r="L401">
        <v>0</v>
      </c>
      <c r="M401">
        <v>8.5011003696964182E-4</v>
      </c>
      <c r="N401">
        <v>7.060320767742953E-2</v>
      </c>
      <c r="O401">
        <v>9.9280923610393767E-3</v>
      </c>
      <c r="P401">
        <v>1.3133302162174112E-2</v>
      </c>
      <c r="Q401">
        <v>4.1652111261908088E-4</v>
      </c>
      <c r="R401">
        <v>8.4828304945412018E-4</v>
      </c>
      <c r="S401">
        <v>6.9244606570035741E-2</v>
      </c>
      <c r="T401">
        <v>0.82786643807734506</v>
      </c>
      <c r="U401">
        <v>0</v>
      </c>
      <c r="V401">
        <v>9.1323415335222841E-2</v>
      </c>
      <c r="W401">
        <v>4.7339149003025639E-2</v>
      </c>
      <c r="X401">
        <v>6.4555267258023345E-3</v>
      </c>
      <c r="Y401">
        <v>2.3087468241820169E-3</v>
      </c>
    </row>
    <row r="402" spans="1:25" x14ac:dyDescent="0.25">
      <c r="A402" s="1096"/>
      <c r="B402" s="1455">
        <v>152</v>
      </c>
      <c r="C402" s="1100">
        <v>0.98318858924164243</v>
      </c>
      <c r="D402" s="1100">
        <v>0.97945406329561191</v>
      </c>
      <c r="E402" s="1100">
        <v>0.99995814840821251</v>
      </c>
      <c r="F402" s="1100">
        <v>1.0260566253009453</v>
      </c>
      <c r="G402" s="1100">
        <v>1.0223623716883061</v>
      </c>
      <c r="H402" s="1100">
        <v>0.9886010302462297</v>
      </c>
      <c r="I402" s="1100">
        <v>1.04350818977784</v>
      </c>
      <c r="K402">
        <v>1.178652064068672</v>
      </c>
      <c r="L402">
        <v>0</v>
      </c>
      <c r="M402">
        <v>8.1196263315760778E-4</v>
      </c>
      <c r="N402">
        <v>7.4706841889438394E-2</v>
      </c>
      <c r="O402">
        <v>1.0613981210893381E-2</v>
      </c>
      <c r="P402">
        <v>1.3910315377534354E-2</v>
      </c>
      <c r="Q402">
        <v>4.6087350893197609E-4</v>
      </c>
      <c r="R402">
        <v>8.1014360022220878E-4</v>
      </c>
      <c r="S402">
        <v>7.7668560140262508E-2</v>
      </c>
      <c r="T402">
        <v>0.84920131093276063</v>
      </c>
      <c r="U402">
        <v>0</v>
      </c>
      <c r="V402">
        <v>9.3475486743039668E-2</v>
      </c>
      <c r="W402">
        <v>4.9078537415375351E-2</v>
      </c>
      <c r="X402">
        <v>7.3330320673317467E-3</v>
      </c>
      <c r="Y402">
        <v>2.2049438160388142E-3</v>
      </c>
    </row>
    <row r="403" spans="1:25" x14ac:dyDescent="0.25">
      <c r="A403" s="1096"/>
      <c r="B403" s="1455">
        <v>153</v>
      </c>
      <c r="C403" s="1100">
        <v>0.97739208637614827</v>
      </c>
      <c r="D403" s="1100">
        <v>1.0264989215410054</v>
      </c>
      <c r="E403" s="1100">
        <v>0.9876828451849633</v>
      </c>
      <c r="F403" s="1100">
        <v>0.97666313871821975</v>
      </c>
      <c r="G403" s="1100">
        <v>0.99420999149762623</v>
      </c>
      <c r="H403" s="1100">
        <v>0.95712845307933425</v>
      </c>
      <c r="I403" s="1100">
        <v>0.98196787400881136</v>
      </c>
      <c r="K403">
        <v>1.1223527732336132</v>
      </c>
      <c r="L403">
        <v>0</v>
      </c>
      <c r="M403">
        <v>7.9606974604372609E-4</v>
      </c>
      <c r="N403">
        <v>7.0571554266896153E-2</v>
      </c>
      <c r="O403">
        <v>1.0474374298824812E-2</v>
      </c>
      <c r="P403">
        <v>1.312989076684576E-2</v>
      </c>
      <c r="Q403">
        <v>4.4921517966546202E-4</v>
      </c>
      <c r="R403">
        <v>7.9422767459943068E-4</v>
      </c>
      <c r="S403">
        <v>7.0482955887808577E-2</v>
      </c>
      <c r="T403">
        <v>0.8091176044463837</v>
      </c>
      <c r="U403">
        <v>0</v>
      </c>
      <c r="V403">
        <v>9.2419437929271514E-2</v>
      </c>
      <c r="W403">
        <v>4.6703018365513924E-2</v>
      </c>
      <c r="X403">
        <v>6.8449382506717326E-3</v>
      </c>
      <c r="Y403">
        <v>2.1616259131770833E-3</v>
      </c>
    </row>
    <row r="404" spans="1:25" x14ac:dyDescent="0.25">
      <c r="A404" s="1096"/>
      <c r="B404" s="1455">
        <v>154</v>
      </c>
      <c r="C404" s="1100">
        <v>1.0188752543185868</v>
      </c>
      <c r="D404" s="1100">
        <v>0.99504619465083788</v>
      </c>
      <c r="E404" s="1100">
        <v>1.0162158266330363</v>
      </c>
      <c r="F404" s="1100">
        <v>0.98719572234670194</v>
      </c>
      <c r="G404" s="1100">
        <v>0.99467856229328877</v>
      </c>
      <c r="H404" s="1100">
        <v>1.0248519741202384</v>
      </c>
      <c r="I404" s="1100">
        <v>0.97252094239534903</v>
      </c>
      <c r="K404">
        <v>1.1361783375367489</v>
      </c>
      <c r="L404">
        <v>0</v>
      </c>
      <c r="M404">
        <v>7.8034046654139864E-4</v>
      </c>
      <c r="N404">
        <v>7.5415731384508605E-2</v>
      </c>
      <c r="O404">
        <v>1.0182958606222706E-2</v>
      </c>
      <c r="P404">
        <v>1.3496136777606962E-2</v>
      </c>
      <c r="Q404">
        <v>4.4941024946158829E-4</v>
      </c>
      <c r="R404">
        <v>7.7865411324919967E-4</v>
      </c>
      <c r="S404">
        <v>7.0713522384978203E-2</v>
      </c>
      <c r="T404">
        <v>0.81598028326942851</v>
      </c>
      <c r="U404">
        <v>0</v>
      </c>
      <c r="V404">
        <v>9.1411504190838128E-2</v>
      </c>
      <c r="W404">
        <v>4.9070827897041265E-2</v>
      </c>
      <c r="X404">
        <v>7.3404093169501736E-3</v>
      </c>
      <c r="Y404">
        <v>2.1192398130048746E-3</v>
      </c>
    </row>
    <row r="405" spans="1:25" x14ac:dyDescent="0.25">
      <c r="A405" s="1096"/>
      <c r="B405" s="1455">
        <v>155</v>
      </c>
      <c r="C405" s="1100">
        <v>0.99072958095533648</v>
      </c>
      <c r="D405" s="1100">
        <v>1.0367921400932907</v>
      </c>
      <c r="E405" s="1100">
        <v>0.99484518392134991</v>
      </c>
      <c r="F405" s="1100">
        <v>1.0120954552396744</v>
      </c>
      <c r="G405" s="1100">
        <v>0.99936150402034274</v>
      </c>
      <c r="H405" s="1100">
        <v>1.0044574212916584</v>
      </c>
      <c r="I405" s="1100">
        <v>1.0050081678312919</v>
      </c>
      <c r="K405">
        <v>1.1582379969748238</v>
      </c>
      <c r="L405">
        <v>0</v>
      </c>
      <c r="M405">
        <v>8.0881532053382382E-4</v>
      </c>
      <c r="N405">
        <v>7.3278928390089981E-2</v>
      </c>
      <c r="O405">
        <v>1.0294535647556696E-2</v>
      </c>
      <c r="P405">
        <v>1.3621872716485068E-2</v>
      </c>
      <c r="Q405">
        <v>4.4470800348517936E-4</v>
      </c>
      <c r="R405">
        <v>8.0703194249165063E-4</v>
      </c>
      <c r="S405">
        <v>7.2733907599025052E-2</v>
      </c>
      <c r="T405">
        <v>0.83798957756170411</v>
      </c>
      <c r="U405">
        <v>0</v>
      </c>
      <c r="V405">
        <v>9.2299488453724182E-2</v>
      </c>
      <c r="W405">
        <v>4.828728845796644E-2</v>
      </c>
      <c r="X405">
        <v>7.0929986133741055E-3</v>
      </c>
      <c r="Y405">
        <v>2.19647490945393E-3</v>
      </c>
    </row>
    <row r="406" spans="1:25" x14ac:dyDescent="0.25">
      <c r="A406" s="1096"/>
      <c r="B406" s="1455">
        <v>156</v>
      </c>
      <c r="C406" s="1100">
        <v>0.98148084715237649</v>
      </c>
      <c r="D406" s="1100">
        <v>0.99692307425055748</v>
      </c>
      <c r="E406" s="1100">
        <v>1.0126304020659322</v>
      </c>
      <c r="F406" s="1100">
        <v>1.0298186446474009</v>
      </c>
      <c r="G406" s="1100">
        <v>0.99267961546114503</v>
      </c>
      <c r="H406" s="1100">
        <v>0.96977169803430263</v>
      </c>
      <c r="I406" s="1100">
        <v>1.0138396831510865</v>
      </c>
      <c r="K406">
        <v>1.1743555386284006</v>
      </c>
      <c r="L406">
        <v>0</v>
      </c>
      <c r="M406">
        <v>7.7168746192379442E-4</v>
      </c>
      <c r="N406">
        <v>7.3767725111672872E-2</v>
      </c>
      <c r="O406">
        <v>1.0561764270479009E-2</v>
      </c>
      <c r="P406">
        <v>1.4007248726508931E-2</v>
      </c>
      <c r="Q406">
        <v>4.6446467579871711E-4</v>
      </c>
      <c r="R406">
        <v>7.699250901987999E-4</v>
      </c>
      <c r="S406">
        <v>7.4130241097414423E-2</v>
      </c>
      <c r="T406">
        <v>0.85145357416313694</v>
      </c>
      <c r="U406">
        <v>0</v>
      </c>
      <c r="V406">
        <v>9.2252421364664855E-2</v>
      </c>
      <c r="W406">
        <v>4.8099752160325596E-2</v>
      </c>
      <c r="X406">
        <v>7.524627140339535E-3</v>
      </c>
      <c r="Y406">
        <v>2.0954822897833606E-3</v>
      </c>
    </row>
    <row r="407" spans="1:25" x14ac:dyDescent="0.25">
      <c r="A407" s="1096"/>
      <c r="B407" s="1455">
        <v>157</v>
      </c>
      <c r="C407" s="1100">
        <v>1.0098966714348958</v>
      </c>
      <c r="D407" s="1100">
        <v>1.0240619911216229</v>
      </c>
      <c r="E407" s="1100">
        <v>1.0303404860932672</v>
      </c>
      <c r="F407" s="1100">
        <v>1.0203026233789547</v>
      </c>
      <c r="G407" s="1100">
        <v>0.98627526767962403</v>
      </c>
      <c r="H407" s="1100">
        <v>0.98936142861434984</v>
      </c>
      <c r="I407" s="1100">
        <v>1.0039476913740177</v>
      </c>
      <c r="K407">
        <v>1.160179298337584</v>
      </c>
      <c r="L407">
        <v>0</v>
      </c>
      <c r="M407">
        <v>7.2955699898877605E-4</v>
      </c>
      <c r="N407">
        <v>7.3570651127473741E-2</v>
      </c>
      <c r="O407">
        <v>1.0160600877089561E-2</v>
      </c>
      <c r="P407">
        <v>1.4008973705344263E-2</v>
      </c>
      <c r="Q407">
        <v>4.5475319600513477E-4</v>
      </c>
      <c r="R407">
        <v>7.2792383486451433E-4</v>
      </c>
      <c r="S407">
        <v>7.1166782400779408E-2</v>
      </c>
      <c r="T407">
        <v>0.84240201706249029</v>
      </c>
      <c r="U407">
        <v>0</v>
      </c>
      <c r="V407">
        <v>9.1271068999460511E-2</v>
      </c>
      <c r="W407">
        <v>4.7477340280042961E-2</v>
      </c>
      <c r="X407">
        <v>7.6875751345473068E-3</v>
      </c>
      <c r="Y407">
        <v>1.9811687184735356E-3</v>
      </c>
    </row>
    <row r="408" spans="1:25" x14ac:dyDescent="0.25">
      <c r="A408" s="1096"/>
      <c r="B408" s="1455">
        <v>158</v>
      </c>
      <c r="C408" s="1100">
        <v>1.005395988939608</v>
      </c>
      <c r="D408" s="1100">
        <v>1.0240074563514152</v>
      </c>
      <c r="E408" s="1100">
        <v>1.0023960090859991</v>
      </c>
      <c r="F408" s="1100">
        <v>1.0005168595921645</v>
      </c>
      <c r="G408" s="1100">
        <v>1.0095983228536722</v>
      </c>
      <c r="H408" s="1100">
        <v>1.0365177699309056</v>
      </c>
      <c r="I408" s="1100">
        <v>0.97456412174500473</v>
      </c>
      <c r="K408">
        <v>1.1499472646662419</v>
      </c>
      <c r="L408">
        <v>0</v>
      </c>
      <c r="M408">
        <v>8.1370545522992653E-4</v>
      </c>
      <c r="N408">
        <v>7.5428430684073414E-2</v>
      </c>
      <c r="O408">
        <v>1.0197268752917927E-2</v>
      </c>
      <c r="P408">
        <v>1.3541375477531203E-2</v>
      </c>
      <c r="Q408">
        <v>4.4386493409283263E-4</v>
      </c>
      <c r="R408">
        <v>8.1196678966223221E-4</v>
      </c>
      <c r="S408">
        <v>7.1205851581531074E-2</v>
      </c>
      <c r="T408">
        <v>0.82790229525643311</v>
      </c>
      <c r="U408">
        <v>0</v>
      </c>
      <c r="V408">
        <v>9.2373358402371847E-2</v>
      </c>
      <c r="W408">
        <v>4.9480904286567887E-2</v>
      </c>
      <c r="X408">
        <v>7.1657480196090795E-3</v>
      </c>
      <c r="Y408">
        <v>2.20990593668032E-3</v>
      </c>
    </row>
    <row r="409" spans="1:25" x14ac:dyDescent="0.25">
      <c r="A409" s="1096"/>
      <c r="B409" s="1455">
        <v>159</v>
      </c>
      <c r="C409" s="1100">
        <v>0.98555686278009713</v>
      </c>
      <c r="D409" s="1100">
        <v>1.0388439003438021</v>
      </c>
      <c r="E409" s="1100">
        <v>1.0354777310371259</v>
      </c>
      <c r="F409" s="1100">
        <v>0.98208059598436037</v>
      </c>
      <c r="G409" s="1100">
        <v>0.9982999306717032</v>
      </c>
      <c r="H409" s="1100">
        <v>1.000923428237863</v>
      </c>
      <c r="I409" s="1100">
        <v>0.98228608546901275</v>
      </c>
      <c r="K409">
        <v>1.1335961036247557</v>
      </c>
      <c r="L409">
        <v>0</v>
      </c>
      <c r="M409">
        <v>7.4397726545703423E-4</v>
      </c>
      <c r="N409">
        <v>7.6197478901626828E-2</v>
      </c>
      <c r="O409">
        <v>1.0353706774654506E-2</v>
      </c>
      <c r="P409">
        <v>1.3632655789919684E-2</v>
      </c>
      <c r="Q409">
        <v>4.6575182579772375E-4</v>
      </c>
      <c r="R409">
        <v>7.4233105867076762E-4</v>
      </c>
      <c r="S409">
        <v>7.1295961391195248E-2</v>
      </c>
      <c r="T409">
        <v>0.81051577222589988</v>
      </c>
      <c r="U409">
        <v>0</v>
      </c>
      <c r="V409">
        <v>9.2392216661490209E-2</v>
      </c>
      <c r="W409">
        <v>4.9026427624542533E-2</v>
      </c>
      <c r="X409">
        <v>7.6973982040807291E-3</v>
      </c>
      <c r="Y409">
        <v>2.0203804323341052E-3</v>
      </c>
    </row>
    <row r="410" spans="1:25" x14ac:dyDescent="0.25">
      <c r="A410" s="1096"/>
      <c r="B410" s="1455">
        <v>160</v>
      </c>
      <c r="C410" s="1100">
        <v>0.98419648914320179</v>
      </c>
      <c r="D410" s="1100">
        <v>0.99790579733268892</v>
      </c>
      <c r="E410" s="1100">
        <v>1.0128668733136494</v>
      </c>
      <c r="F410" s="1100">
        <v>1.0004177499415028</v>
      </c>
      <c r="G410" s="1100">
        <v>0.96954843842415406</v>
      </c>
      <c r="H410" s="1100">
        <v>1.015575563891298</v>
      </c>
      <c r="I410" s="1100">
        <v>0.9990949262626948</v>
      </c>
      <c r="K410">
        <v>1.1545651045064917</v>
      </c>
      <c r="L410">
        <v>0</v>
      </c>
      <c r="M410">
        <v>8.0519226514335631E-4</v>
      </c>
      <c r="N410">
        <v>7.7033451546331552E-2</v>
      </c>
      <c r="O410">
        <v>1.0528550430911098E-2</v>
      </c>
      <c r="P410">
        <v>1.3668325508152911E-2</v>
      </c>
      <c r="Q410">
        <v>4.631133569618955E-4</v>
      </c>
      <c r="R410">
        <v>8.0343631197268156E-4</v>
      </c>
      <c r="S410">
        <v>7.470750979278927E-2</v>
      </c>
      <c r="T410">
        <v>0.82712936381552382</v>
      </c>
      <c r="U410">
        <v>0</v>
      </c>
      <c r="V410">
        <v>9.1194033225867721E-2</v>
      </c>
      <c r="W410">
        <v>5.022215886549361E-2</v>
      </c>
      <c r="X410">
        <v>7.4336651291504576E-3</v>
      </c>
      <c r="Y410">
        <v>2.1866887884805777E-3</v>
      </c>
    </row>
    <row r="411" spans="1:25" x14ac:dyDescent="0.25">
      <c r="A411" s="1096"/>
      <c r="B411" s="1455">
        <v>161</v>
      </c>
      <c r="C411" s="1100">
        <v>1.0073578490832467</v>
      </c>
      <c r="D411" s="1100">
        <v>1.0009392952944278</v>
      </c>
      <c r="E411" s="1100">
        <v>1.0166999645773205</v>
      </c>
      <c r="F411" s="1100">
        <v>1.0068754670662852</v>
      </c>
      <c r="G411" s="1100">
        <v>0.98581516764178168</v>
      </c>
      <c r="H411" s="1100">
        <v>0.97684298996245189</v>
      </c>
      <c r="I411" s="1100">
        <v>0.97984456177998669</v>
      </c>
      <c r="K411">
        <v>1.1471148422647535</v>
      </c>
      <c r="L411">
        <v>0</v>
      </c>
      <c r="M411">
        <v>7.4975945262621929E-4</v>
      </c>
      <c r="N411">
        <v>7.2558452011279209E-2</v>
      </c>
      <c r="O411">
        <v>1.0275242556769142E-2</v>
      </c>
      <c r="P411">
        <v>1.3712976211150175E-2</v>
      </c>
      <c r="Q411">
        <v>4.5370181063386183E-4</v>
      </c>
      <c r="R411">
        <v>7.4805955501547219E-4</v>
      </c>
      <c r="S411">
        <v>6.9944077364896509E-2</v>
      </c>
      <c r="T411">
        <v>0.83221483590808865</v>
      </c>
      <c r="U411">
        <v>0</v>
      </c>
      <c r="V411">
        <v>9.1310912315117274E-2</v>
      </c>
      <c r="W411">
        <v>4.7198271182591608E-2</v>
      </c>
      <c r="X411">
        <v>7.4121012908504643E-3</v>
      </c>
      <c r="Y411">
        <v>2.0359715109860787E-3</v>
      </c>
    </row>
    <row r="412" spans="1:25" x14ac:dyDescent="0.25">
      <c r="A412" s="1096"/>
      <c r="B412" s="1455">
        <v>162</v>
      </c>
      <c r="C412" s="1100">
        <v>1.0099755371551633</v>
      </c>
      <c r="D412" s="1100">
        <v>1.0126565035671677</v>
      </c>
      <c r="E412" s="1100">
        <v>0.99553530162649351</v>
      </c>
      <c r="F412" s="1100">
        <v>1.042829807086292</v>
      </c>
      <c r="G412" s="1100">
        <v>0.97536390550864149</v>
      </c>
      <c r="H412" s="1100">
        <v>0.99826115434961515</v>
      </c>
      <c r="I412" s="1100">
        <v>0.99808845750337494</v>
      </c>
      <c r="K412">
        <v>1.1792628652063386</v>
      </c>
      <c r="L412">
        <v>0</v>
      </c>
      <c r="M412">
        <v>7.948347872040628E-4</v>
      </c>
      <c r="N412">
        <v>7.2161652773138435E-2</v>
      </c>
      <c r="O412">
        <v>1.019418066675609E-2</v>
      </c>
      <c r="P412">
        <v>1.3936364546277592E-2</v>
      </c>
      <c r="Q412">
        <v>4.406792281282031E-4</v>
      </c>
      <c r="R412">
        <v>7.9307135700975348E-4</v>
      </c>
      <c r="S412">
        <v>7.1469973690292662E-2</v>
      </c>
      <c r="T412">
        <v>0.86338908974168527</v>
      </c>
      <c r="U412">
        <v>0</v>
      </c>
      <c r="V412">
        <v>9.0796902954282638E-2</v>
      </c>
      <c r="W412">
        <v>4.7531483438667435E-2</v>
      </c>
      <c r="X412">
        <v>7.1858227994271891E-3</v>
      </c>
      <c r="Y412">
        <v>2.158478797877973E-3</v>
      </c>
    </row>
    <row r="413" spans="1:25" x14ac:dyDescent="0.25">
      <c r="A413" s="1096"/>
      <c r="B413" s="1455">
        <v>163</v>
      </c>
      <c r="C413" s="1100">
        <v>0.98916660926659072</v>
      </c>
      <c r="D413" s="1100">
        <v>1.0200097029569484</v>
      </c>
      <c r="E413" s="1100">
        <v>1.0058583409169597</v>
      </c>
      <c r="F413" s="1100">
        <v>0.99334412403670347</v>
      </c>
      <c r="G413" s="1100">
        <v>1.0040179003793659</v>
      </c>
      <c r="H413" s="1100">
        <v>1.0074591229508298</v>
      </c>
      <c r="I413" s="1100">
        <v>0.97716289834796188</v>
      </c>
      <c r="K413">
        <v>1.1434600528851666</v>
      </c>
      <c r="L413">
        <v>0</v>
      </c>
      <c r="M413">
        <v>7.9936304831845014E-4</v>
      </c>
      <c r="N413">
        <v>7.4873240236593391E-2</v>
      </c>
      <c r="O413">
        <v>1.0381943739318326E-2</v>
      </c>
      <c r="P413">
        <v>1.3499040310395297E-2</v>
      </c>
      <c r="Q413">
        <v>4.534753192951377E-4</v>
      </c>
      <c r="R413">
        <v>7.976057632759192E-4</v>
      </c>
      <c r="S413">
        <v>7.1557489504690625E-2</v>
      </c>
      <c r="T413">
        <v>0.8217398013826358</v>
      </c>
      <c r="U413">
        <v>0</v>
      </c>
      <c r="V413">
        <v>9.253976977216663E-2</v>
      </c>
      <c r="W413">
        <v>4.9016058952384874E-2</v>
      </c>
      <c r="X413">
        <v>7.2301709957595158E-3</v>
      </c>
      <c r="Y413">
        <v>2.1708199569678527E-3</v>
      </c>
    </row>
    <row r="414" spans="1:25" x14ac:dyDescent="0.25">
      <c r="A414" s="1096"/>
      <c r="B414" s="1455">
        <v>164</v>
      </c>
      <c r="C414" s="1100">
        <v>0.99652290207534822</v>
      </c>
      <c r="D414" s="1100">
        <v>0.99549905004553163</v>
      </c>
      <c r="E414" s="1100">
        <v>1.0274951657467286</v>
      </c>
      <c r="F414" s="1100">
        <v>1.0190400267187962</v>
      </c>
      <c r="G414" s="1100">
        <v>0.98890051938366608</v>
      </c>
      <c r="H414" s="1100">
        <v>1.0278498615138565</v>
      </c>
      <c r="I414" s="1100">
        <v>0.99623870427424377</v>
      </c>
      <c r="K414">
        <v>1.1708581060025822</v>
      </c>
      <c r="L414">
        <v>0</v>
      </c>
      <c r="M414">
        <v>7.8146994061746892E-4</v>
      </c>
      <c r="N414">
        <v>7.8139154850044912E-2</v>
      </c>
      <c r="O414">
        <v>1.0413194807530736E-2</v>
      </c>
      <c r="P414">
        <v>1.4016245014608653E-2</v>
      </c>
      <c r="Q414">
        <v>4.6474839458395765E-4</v>
      </c>
      <c r="R414">
        <v>7.7978607211382184E-4</v>
      </c>
      <c r="S414">
        <v>7.418135388426049E-2</v>
      </c>
      <c r="T414">
        <v>0.84154881047017982</v>
      </c>
      <c r="U414">
        <v>0</v>
      </c>
      <c r="V414">
        <v>9.1712241970497418E-2</v>
      </c>
      <c r="W414">
        <v>5.0508956787692558E-2</v>
      </c>
      <c r="X414">
        <v>7.752763059803513E-3</v>
      </c>
      <c r="Y414">
        <v>2.1223206318842364E-3</v>
      </c>
    </row>
    <row r="415" spans="1:25" x14ac:dyDescent="0.25">
      <c r="A415" s="1096"/>
      <c r="B415" s="1455">
        <v>165</v>
      </c>
      <c r="C415" s="1100">
        <v>0.99983889011911908</v>
      </c>
      <c r="D415" s="1100">
        <v>1.0300063516326752</v>
      </c>
      <c r="E415" s="1100">
        <v>1.0077502896089121</v>
      </c>
      <c r="F415" s="1100">
        <v>1.0084859264219119</v>
      </c>
      <c r="G415" s="1100">
        <v>0.97500747133155763</v>
      </c>
      <c r="H415" s="1100">
        <v>1.0254598024885717</v>
      </c>
      <c r="I415" s="1100">
        <v>0.98040655992590353</v>
      </c>
      <c r="K415">
        <v>1.1548022653191734</v>
      </c>
      <c r="L415">
        <v>0</v>
      </c>
      <c r="M415">
        <v>7.9868271484686648E-4</v>
      </c>
      <c r="N415">
        <v>7.5241045477195304E-2</v>
      </c>
      <c r="O415">
        <v>1.0231748605553422E-2</v>
      </c>
      <c r="P415">
        <v>1.3664985978886636E-2</v>
      </c>
      <c r="Q415">
        <v>4.4776244153506701E-4</v>
      </c>
      <c r="R415">
        <v>7.9695774613345227E-4</v>
      </c>
      <c r="S415">
        <v>7.1386649791845197E-2</v>
      </c>
      <c r="T415">
        <v>0.83413989619310225</v>
      </c>
      <c r="U415">
        <v>0</v>
      </c>
      <c r="V415">
        <v>9.1032457421896223E-2</v>
      </c>
      <c r="W415">
        <v>4.9201783541431364E-2</v>
      </c>
      <c r="X415">
        <v>7.2886045685152164E-3</v>
      </c>
      <c r="Y415">
        <v>2.1690562679248511E-3</v>
      </c>
    </row>
    <row r="416" spans="1:25" x14ac:dyDescent="0.25">
      <c r="A416" s="1096"/>
      <c r="B416" s="1455">
        <v>166</v>
      </c>
      <c r="C416" s="1100">
        <v>1.0056300623140486</v>
      </c>
      <c r="D416" s="1100">
        <v>1.0309458760719952</v>
      </c>
      <c r="E416" s="1100">
        <v>1.0011507427831738</v>
      </c>
      <c r="F416" s="1100">
        <v>1.0047558011259035</v>
      </c>
      <c r="G416" s="1100">
        <v>0.99338493245614046</v>
      </c>
      <c r="H416" s="1100">
        <v>1.0032421720197362</v>
      </c>
      <c r="I416" s="1100">
        <v>0.97448980879474889</v>
      </c>
      <c r="K416">
        <v>1.1466559065006592</v>
      </c>
      <c r="L416">
        <v>0</v>
      </c>
      <c r="M416">
        <v>7.8730711464491542E-4</v>
      </c>
      <c r="N416">
        <v>7.2702187292893766E-2</v>
      </c>
      <c r="O416">
        <v>1.0166993832759992E-2</v>
      </c>
      <c r="P416">
        <v>1.3546878427535171E-2</v>
      </c>
      <c r="Q416">
        <v>4.4199407856801724E-4</v>
      </c>
      <c r="R416">
        <v>7.8556905780887516E-4</v>
      </c>
      <c r="S416">
        <v>6.9641543970397193E-2</v>
      </c>
      <c r="T416">
        <v>0.83149267449507902</v>
      </c>
      <c r="U416">
        <v>0</v>
      </c>
      <c r="V416">
        <v>9.1674280337707248E-2</v>
      </c>
      <c r="W416">
        <v>4.7727755639606038E-2</v>
      </c>
      <c r="X416">
        <v>7.1252764703627772E-3</v>
      </c>
      <c r="Y416">
        <v>2.138060012585449E-3</v>
      </c>
    </row>
    <row r="417" spans="1:25" x14ac:dyDescent="0.25">
      <c r="A417" s="1096"/>
      <c r="B417" s="1455">
        <v>167</v>
      </c>
      <c r="C417" s="1100">
        <v>0.99591090222874912</v>
      </c>
      <c r="D417" s="1100">
        <v>1.0006533413099619</v>
      </c>
      <c r="E417" s="1100">
        <v>0.96798302872389386</v>
      </c>
      <c r="F417" s="1100">
        <v>0.99933163414187443</v>
      </c>
      <c r="G417" s="1100">
        <v>1.0089273620382813</v>
      </c>
      <c r="H417" s="1100">
        <v>0.97407244415046357</v>
      </c>
      <c r="I417" s="1100">
        <v>0.99765445414982434</v>
      </c>
      <c r="K417">
        <v>1.1432429817961327</v>
      </c>
      <c r="L417">
        <v>0</v>
      </c>
      <c r="M417">
        <v>8.3663343177267646E-4</v>
      </c>
      <c r="N417">
        <v>6.9878096698680087E-2</v>
      </c>
      <c r="O417">
        <v>1.0378547258745064E-2</v>
      </c>
      <c r="P417">
        <v>1.3222256727987094E-2</v>
      </c>
      <c r="Q417">
        <v>4.3627118340623953E-4</v>
      </c>
      <c r="R417">
        <v>8.3473117326460212E-4</v>
      </c>
      <c r="S417">
        <v>7.1875202913295522E-2</v>
      </c>
      <c r="T417">
        <v>0.82921481487328663</v>
      </c>
      <c r="U417">
        <v>0</v>
      </c>
      <c r="V417">
        <v>9.2574862272914615E-2</v>
      </c>
      <c r="W417">
        <v>4.6798432532001479E-2</v>
      </c>
      <c r="X417">
        <v>6.5945365097541293E-3</v>
      </c>
      <c r="Y417">
        <v>2.2718630845689337E-3</v>
      </c>
    </row>
    <row r="418" spans="1:25" x14ac:dyDescent="0.25">
      <c r="A418" s="1096"/>
      <c r="B418" s="1455">
        <v>168</v>
      </c>
      <c r="C418" s="1100">
        <v>0.96412963694206333</v>
      </c>
      <c r="D418" s="1100">
        <v>1.0001193567459172</v>
      </c>
      <c r="E418" s="1100">
        <v>1.0063537001021838</v>
      </c>
      <c r="F418" s="1100">
        <v>1.0047245525900128</v>
      </c>
      <c r="G418" s="1100">
        <v>1.0078381873509925</v>
      </c>
      <c r="H418" s="1100">
        <v>1.002208416462373</v>
      </c>
      <c r="I418" s="1100">
        <v>1.037204111583784</v>
      </c>
      <c r="K418">
        <v>1.165027889651856</v>
      </c>
      <c r="L418">
        <v>0</v>
      </c>
      <c r="M418">
        <v>8.2145355306561629E-4</v>
      </c>
      <c r="N418">
        <v>7.7056668229460903E-2</v>
      </c>
      <c r="O418">
        <v>1.0735950057364876E-2</v>
      </c>
      <c r="P418">
        <v>1.3738684439385473E-2</v>
      </c>
      <c r="Q418">
        <v>4.6917080955404873E-4</v>
      </c>
      <c r="R418">
        <v>8.1963824413290544E-4</v>
      </c>
      <c r="S418">
        <v>7.8488138709662661E-2</v>
      </c>
      <c r="T418">
        <v>0.83112136201358311</v>
      </c>
      <c r="U418">
        <v>0</v>
      </c>
      <c r="V418">
        <v>9.3353850014436912E-2</v>
      </c>
      <c r="W418">
        <v>5.0430670289272263E-2</v>
      </c>
      <c r="X418">
        <v>7.4044252912118941E-3</v>
      </c>
      <c r="Y418">
        <v>2.2307851068552056E-3</v>
      </c>
    </row>
    <row r="419" spans="1:25" x14ac:dyDescent="0.25">
      <c r="A419" s="1096"/>
      <c r="B419" s="1455">
        <v>169</v>
      </c>
      <c r="C419" s="1100">
        <v>1.0046036929373865</v>
      </c>
      <c r="D419" s="1100">
        <v>1.0045846278053436</v>
      </c>
      <c r="E419" s="1100">
        <v>0.99981414370625854</v>
      </c>
      <c r="F419" s="1100">
        <v>1.0305866786776194</v>
      </c>
      <c r="G419" s="1100">
        <v>0.9888576739161854</v>
      </c>
      <c r="H419" s="1100">
        <v>0.96396194833255722</v>
      </c>
      <c r="I419" s="1100">
        <v>1.0095587867265283</v>
      </c>
      <c r="K419">
        <v>1.1668466871879761</v>
      </c>
      <c r="L419">
        <v>0</v>
      </c>
      <c r="M419">
        <v>7.6726551295286979E-4</v>
      </c>
      <c r="N419">
        <v>7.0559604424212399E-2</v>
      </c>
      <c r="O419">
        <v>1.0282942645800505E-2</v>
      </c>
      <c r="P419">
        <v>1.3850133687074584E-2</v>
      </c>
      <c r="Q419">
        <v>4.4643473350425874E-4</v>
      </c>
      <c r="R419">
        <v>7.6550267916860194E-4</v>
      </c>
      <c r="S419">
        <v>7.1582309791973608E-2</v>
      </c>
      <c r="T419">
        <v>0.85296037174111528</v>
      </c>
      <c r="U419">
        <v>0</v>
      </c>
      <c r="V419">
        <v>9.1505699954461076E-2</v>
      </c>
      <c r="W419">
        <v>4.6357984452970513E-2</v>
      </c>
      <c r="X419">
        <v>7.2195226458417654E-3</v>
      </c>
      <c r="Y419">
        <v>2.0834459448065669E-3</v>
      </c>
    </row>
    <row r="420" spans="1:25" x14ac:dyDescent="0.25">
      <c r="A420" s="1096"/>
      <c r="B420" s="1455">
        <v>170</v>
      </c>
      <c r="C420" s="1100">
        <v>0.96490599433469482</v>
      </c>
      <c r="D420" s="1100">
        <v>0.98522057963056764</v>
      </c>
      <c r="E420" s="1100">
        <v>1.0125215109782246</v>
      </c>
      <c r="F420" s="1100">
        <v>0.97033768285631783</v>
      </c>
      <c r="G420" s="1100">
        <v>1.0183137296313882</v>
      </c>
      <c r="H420" s="1100">
        <v>1.007304281173093</v>
      </c>
      <c r="I420" s="1100">
        <v>0.98134909050532759</v>
      </c>
      <c r="K420">
        <v>1.1346672115674235</v>
      </c>
      <c r="L420">
        <v>0</v>
      </c>
      <c r="M420">
        <v>8.1936799819392139E-4</v>
      </c>
      <c r="N420">
        <v>7.8306576952856102E-2</v>
      </c>
      <c r="O420">
        <v>1.0794016217081022E-2</v>
      </c>
      <c r="P420">
        <v>1.3362579273663961E-2</v>
      </c>
      <c r="Q420">
        <v>4.7462660569842183E-4</v>
      </c>
      <c r="R420">
        <v>8.1756645824925857E-4</v>
      </c>
      <c r="S420">
        <v>7.4995257502932622E-2</v>
      </c>
      <c r="T420">
        <v>0.80228169496554746</v>
      </c>
      <c r="U420">
        <v>0</v>
      </c>
      <c r="V420">
        <v>9.3781971205187373E-2</v>
      </c>
      <c r="W420">
        <v>5.1062552169504304E-2</v>
      </c>
      <c r="X420">
        <v>7.384591826251845E-3</v>
      </c>
      <c r="Y420">
        <v>2.2251463886439524E-3</v>
      </c>
    </row>
    <row r="421" spans="1:25" x14ac:dyDescent="0.25">
      <c r="A421" s="1096"/>
      <c r="B421" s="1455">
        <v>171</v>
      </c>
      <c r="C421" s="1100">
        <v>0.99972379832881952</v>
      </c>
      <c r="D421" s="1100">
        <v>1.0227208153272638</v>
      </c>
      <c r="E421" s="1100">
        <v>0.96038803855820154</v>
      </c>
      <c r="F421" s="1100">
        <v>1.0079793800260723</v>
      </c>
      <c r="G421" s="1100">
        <v>0.95523715576310297</v>
      </c>
      <c r="H421" s="1100">
        <v>0.98931663570416351</v>
      </c>
      <c r="I421" s="1100">
        <v>0.97596878325036585</v>
      </c>
      <c r="K421">
        <v>1.1459645149336297</v>
      </c>
      <c r="L421">
        <v>0</v>
      </c>
      <c r="M421">
        <v>8.5238040941219438E-4</v>
      </c>
      <c r="N421">
        <v>6.9576553607923031E-2</v>
      </c>
      <c r="O421">
        <v>1.0246695371646245E-2</v>
      </c>
      <c r="P421">
        <v>1.3188286442664716E-2</v>
      </c>
      <c r="Q421">
        <v>4.2738722718733968E-4</v>
      </c>
      <c r="R421">
        <v>8.5047221014147736E-4</v>
      </c>
      <c r="S421">
        <v>6.9853920835907843E-2</v>
      </c>
      <c r="T421">
        <v>0.83690615374843458</v>
      </c>
      <c r="U421">
        <v>0</v>
      </c>
      <c r="V421">
        <v>9.0182297187078889E-2</v>
      </c>
      <c r="W421">
        <v>4.6813380875535993E-2</v>
      </c>
      <c r="X421">
        <v>6.4570428386038726E-3</v>
      </c>
      <c r="Y421">
        <v>2.3147049979163757E-3</v>
      </c>
    </row>
    <row r="422" spans="1:25" x14ac:dyDescent="0.25">
      <c r="A422" s="1096"/>
      <c r="B422" s="1455">
        <v>172</v>
      </c>
      <c r="C422" s="1100">
        <v>1.0074595236461974</v>
      </c>
      <c r="D422" s="1100">
        <v>0.99679558566668991</v>
      </c>
      <c r="E422" s="1100">
        <v>1.0418071440620098</v>
      </c>
      <c r="F422" s="1100">
        <v>0.982329074604256</v>
      </c>
      <c r="G422" s="1100">
        <v>1.0102857041905726</v>
      </c>
      <c r="H422" s="1100">
        <v>1.012307275943259</v>
      </c>
      <c r="I422" s="1100">
        <v>1.0172180413635654</v>
      </c>
      <c r="K422">
        <v>1.1377724238671787</v>
      </c>
      <c r="L422">
        <v>0</v>
      </c>
      <c r="M422">
        <v>7.385291711177759E-4</v>
      </c>
      <c r="N422">
        <v>7.7097575884478228E-2</v>
      </c>
      <c r="O422">
        <v>1.029947156512289E-2</v>
      </c>
      <c r="P422">
        <v>1.3733353320636502E-2</v>
      </c>
      <c r="Q422">
        <v>4.662067487171164E-4</v>
      </c>
      <c r="R422">
        <v>7.369133961570224E-4</v>
      </c>
      <c r="S422">
        <v>7.4249036002020236E-2</v>
      </c>
      <c r="T422">
        <v>0.81031699795713508</v>
      </c>
      <c r="U422">
        <v>0</v>
      </c>
      <c r="V422">
        <v>9.2358454731864714E-2</v>
      </c>
      <c r="W422">
        <v>4.942486747472611E-2</v>
      </c>
      <c r="X422">
        <v>7.8224406165341275E-3</v>
      </c>
      <c r="Y422">
        <v>2.005635340903659E-3</v>
      </c>
    </row>
    <row r="423" spans="1:25" x14ac:dyDescent="0.25">
      <c r="A423" s="1096"/>
      <c r="B423" s="1455">
        <v>173</v>
      </c>
      <c r="C423" s="1100">
        <v>0.99113347698547138</v>
      </c>
      <c r="D423" s="1100">
        <v>0.97603113935051977</v>
      </c>
      <c r="E423" s="1100">
        <v>0.99964173449636451</v>
      </c>
      <c r="F423" s="1100">
        <v>1.0135497458252249</v>
      </c>
      <c r="G423" s="1100">
        <v>0.96726815986495263</v>
      </c>
      <c r="H423" s="1100">
        <v>1.0091195900225864</v>
      </c>
      <c r="I423" s="1100">
        <v>0.95428159405811153</v>
      </c>
      <c r="K423">
        <v>1.1607936589532468</v>
      </c>
      <c r="L423">
        <v>0</v>
      </c>
      <c r="M423">
        <v>8.2386395273962762E-4</v>
      </c>
      <c r="N423">
        <v>7.5732883147452884E-2</v>
      </c>
      <c r="O423">
        <v>1.0543548798310768E-2</v>
      </c>
      <c r="P423">
        <v>1.364580362971222E-2</v>
      </c>
      <c r="Q423">
        <v>4.5766963539393778E-4</v>
      </c>
      <c r="R423">
        <v>8.2205578614349311E-4</v>
      </c>
      <c r="S423">
        <v>7.1396317145957996E-2</v>
      </c>
      <c r="T423">
        <v>0.83887140235495627</v>
      </c>
      <c r="U423">
        <v>0</v>
      </c>
      <c r="V423">
        <v>9.0917918344936094E-2</v>
      </c>
      <c r="W423">
        <v>4.9761952325199428E-2</v>
      </c>
      <c r="X423">
        <v>7.2306068786560157E-3</v>
      </c>
      <c r="Y423">
        <v>2.2373648592655154E-3</v>
      </c>
    </row>
    <row r="424" spans="1:25" x14ac:dyDescent="0.25">
      <c r="A424" s="1096"/>
      <c r="B424" s="1455">
        <v>174</v>
      </c>
      <c r="C424" s="1100">
        <v>0.98567980126698818</v>
      </c>
      <c r="D424" s="1100">
        <v>0.99436877260128298</v>
      </c>
      <c r="E424" s="1100">
        <v>0.99347088408936324</v>
      </c>
      <c r="F424" s="1100">
        <v>1.0065527197902218</v>
      </c>
      <c r="G424" s="1100">
        <v>1.0415241573918286</v>
      </c>
      <c r="H424" s="1100">
        <v>1.0127565555227147</v>
      </c>
      <c r="I424" s="1100">
        <v>0.97004131180305131</v>
      </c>
      <c r="K424">
        <v>1.1592211633774894</v>
      </c>
      <c r="L424">
        <v>0</v>
      </c>
      <c r="M424">
        <v>8.3586624220524468E-4</v>
      </c>
      <c r="N424">
        <v>7.5417199563479823E-2</v>
      </c>
      <c r="O424">
        <v>1.0521189936455058E-2</v>
      </c>
      <c r="P424">
        <v>1.3568795816567222E-2</v>
      </c>
      <c r="Q424">
        <v>4.5386966611455861E-4</v>
      </c>
      <c r="R424">
        <v>8.3403832171657216E-4</v>
      </c>
      <c r="S424">
        <v>7.2421960990453366E-2</v>
      </c>
      <c r="T424">
        <v>0.83349217511319118</v>
      </c>
      <c r="U424">
        <v>0</v>
      </c>
      <c r="V424">
        <v>9.4230193673220261E-2</v>
      </c>
      <c r="W424">
        <v>4.9737103159907724E-2</v>
      </c>
      <c r="X424">
        <v>7.110526007534433E-3</v>
      </c>
      <c r="Y424">
        <v>2.2699773710536477E-3</v>
      </c>
    </row>
    <row r="425" spans="1:25" x14ac:dyDescent="0.25">
      <c r="A425" s="1096"/>
      <c r="B425" s="1455">
        <v>175</v>
      </c>
      <c r="C425" s="1100">
        <v>1.0300566920591165</v>
      </c>
      <c r="D425" s="1100">
        <v>1.030308443282969</v>
      </c>
      <c r="E425" s="1100">
        <v>0.98573317638737623</v>
      </c>
      <c r="F425" s="1100">
        <v>0.97965912465397942</v>
      </c>
      <c r="G425" s="1100">
        <v>1.03409979741745</v>
      </c>
      <c r="H425" s="1100">
        <v>1.0143775288226751</v>
      </c>
      <c r="I425" s="1100">
        <v>0.99360882476002965</v>
      </c>
      <c r="K425">
        <v>1.1243157692504269</v>
      </c>
      <c r="L425">
        <v>0</v>
      </c>
      <c r="M425">
        <v>8.0259679701527868E-4</v>
      </c>
      <c r="N425">
        <v>7.0741159631345141E-2</v>
      </c>
      <c r="O425">
        <v>9.9235152699114777E-3</v>
      </c>
      <c r="P425">
        <v>1.3141508459819182E-2</v>
      </c>
      <c r="Q425">
        <v>4.2475105355668921E-4</v>
      </c>
      <c r="R425">
        <v>8.0084443681757353E-4</v>
      </c>
      <c r="S425">
        <v>6.9760461523389772E-2</v>
      </c>
      <c r="T425">
        <v>0.81172690585334106</v>
      </c>
      <c r="U425">
        <v>0</v>
      </c>
      <c r="V425">
        <v>9.2828823769040614E-2</v>
      </c>
      <c r="W425">
        <v>4.6870113798513843E-2</v>
      </c>
      <c r="X425">
        <v>6.7206476929880538E-3</v>
      </c>
      <c r="Y425">
        <v>2.1796345587197889E-3</v>
      </c>
    </row>
    <row r="426" spans="1:25" x14ac:dyDescent="0.25">
      <c r="A426" s="1096"/>
      <c r="B426" s="1455">
        <v>176</v>
      </c>
      <c r="C426" s="1100">
        <v>1.017048765466247</v>
      </c>
      <c r="D426" s="1100">
        <v>1.0269759304767914</v>
      </c>
      <c r="E426" s="1100">
        <v>1.0328930157492315</v>
      </c>
      <c r="F426" s="1100">
        <v>0.99338186127812789</v>
      </c>
      <c r="G426" s="1100">
        <v>0.99432403893172561</v>
      </c>
      <c r="H426" s="1100">
        <v>0.98563321120311553</v>
      </c>
      <c r="I426" s="1100">
        <v>1.0387266962929749</v>
      </c>
      <c r="K426">
        <v>1.1379634072265536</v>
      </c>
      <c r="L426">
        <v>0</v>
      </c>
      <c r="M426">
        <v>7.1705193324813374E-4</v>
      </c>
      <c r="N426">
        <v>7.2867472273055262E-2</v>
      </c>
      <c r="O426">
        <v>1.0078505532821521E-2</v>
      </c>
      <c r="P426">
        <v>1.3748293762371118E-2</v>
      </c>
      <c r="Q426">
        <v>4.5221769452429098E-4</v>
      </c>
      <c r="R426">
        <v>7.1544069092855918E-4</v>
      </c>
      <c r="S426">
        <v>7.2857463003346612E-2</v>
      </c>
      <c r="T426">
        <v>0.82000990307344013</v>
      </c>
      <c r="U426">
        <v>0</v>
      </c>
      <c r="V426">
        <v>9.1442806433312582E-2</v>
      </c>
      <c r="W426">
        <v>4.6954023782881979E-2</v>
      </c>
      <c r="X426">
        <v>7.6071391973732798E-3</v>
      </c>
      <c r="Y426">
        <v>1.9471937157471586E-3</v>
      </c>
    </row>
    <row r="427" spans="1:25" x14ac:dyDescent="0.25">
      <c r="A427" s="1096"/>
      <c r="B427" s="1455">
        <v>177</v>
      </c>
      <c r="C427" s="1100">
        <v>0.96181590744082268</v>
      </c>
      <c r="D427" s="1100">
        <v>0.96239867726337869</v>
      </c>
      <c r="E427" s="1100">
        <v>1.0123180516907018</v>
      </c>
      <c r="F427" s="1100">
        <v>1.0173677905954923</v>
      </c>
      <c r="G427" s="1100">
        <v>1.0216778456480404</v>
      </c>
      <c r="H427" s="1100">
        <v>1.0122521091533692</v>
      </c>
      <c r="I427" s="1100">
        <v>0.97336182152840034</v>
      </c>
      <c r="K427">
        <v>1.1777485452259182</v>
      </c>
      <c r="L427">
        <v>0</v>
      </c>
      <c r="M427">
        <v>8.341709837679463E-4</v>
      </c>
      <c r="N427">
        <v>7.9673204248708912E-2</v>
      </c>
      <c r="O427">
        <v>1.0930617556049753E-2</v>
      </c>
      <c r="P427">
        <v>1.3908959094376127E-2</v>
      </c>
      <c r="Q427">
        <v>4.80535526502218E-4</v>
      </c>
      <c r="R427">
        <v>8.3234586148857835E-4</v>
      </c>
      <c r="S427">
        <v>7.573416198157204E-2</v>
      </c>
      <c r="T427">
        <v>0.84118012364747852</v>
      </c>
      <c r="U427">
        <v>0</v>
      </c>
      <c r="V427">
        <v>9.4008272342415072E-2</v>
      </c>
      <c r="W427">
        <v>5.1959931121895828E-2</v>
      </c>
      <c r="X427">
        <v>7.6091937769655E-3</v>
      </c>
      <c r="Y427">
        <v>2.2653710522324124E-3</v>
      </c>
    </row>
    <row r="428" spans="1:25" x14ac:dyDescent="0.25">
      <c r="A428" s="1096"/>
      <c r="B428" s="1455">
        <v>178</v>
      </c>
      <c r="C428" s="1100">
        <v>0.98302682664653573</v>
      </c>
      <c r="D428" s="1100">
        <v>0.98354861159999485</v>
      </c>
      <c r="E428" s="1100">
        <v>0.97302114860692701</v>
      </c>
      <c r="F428" s="1100">
        <v>0.97907841672147322</v>
      </c>
      <c r="G428" s="1100">
        <v>1.0117380404914085</v>
      </c>
      <c r="H428" s="1100">
        <v>1.0346307921175275</v>
      </c>
      <c r="I428" s="1100">
        <v>1.0099079991294413</v>
      </c>
      <c r="K428">
        <v>1.1421883290568009</v>
      </c>
      <c r="L428">
        <v>0</v>
      </c>
      <c r="M428">
        <v>8.9714395323857281E-4</v>
      </c>
      <c r="N428">
        <v>7.6094062091386541E-2</v>
      </c>
      <c r="O428">
        <v>1.0589019343008828E-2</v>
      </c>
      <c r="P428">
        <v>1.3118047028930822E-2</v>
      </c>
      <c r="Q428">
        <v>4.4741589529778166E-4</v>
      </c>
      <c r="R428">
        <v>8.9522350629786236E-4</v>
      </c>
      <c r="S428">
        <v>7.6922162534130339E-2</v>
      </c>
      <c r="T428">
        <v>0.81207803830267788</v>
      </c>
      <c r="U428">
        <v>0</v>
      </c>
      <c r="V428">
        <v>9.3021699228867202E-2</v>
      </c>
      <c r="W428">
        <v>5.0805394912124248E-2</v>
      </c>
      <c r="X428">
        <v>6.6779068935225259E-3</v>
      </c>
      <c r="Y428">
        <v>2.4365032737932429E-3</v>
      </c>
    </row>
    <row r="429" spans="1:25" x14ac:dyDescent="0.25">
      <c r="A429" s="1096"/>
      <c r="B429" s="1455">
        <v>179</v>
      </c>
      <c r="C429" s="1100">
        <v>0.99791190413320763</v>
      </c>
      <c r="D429" s="1100">
        <v>0.98767231951567147</v>
      </c>
      <c r="E429" s="1100">
        <v>0.99381382313214983</v>
      </c>
      <c r="F429" s="1100">
        <v>0.98269580863385497</v>
      </c>
      <c r="G429" s="1100">
        <v>0.97553338586223848</v>
      </c>
      <c r="H429" s="1100">
        <v>0.98748412214460024</v>
      </c>
      <c r="I429" s="1100">
        <v>0.99506295534898237</v>
      </c>
      <c r="K429">
        <v>1.1316025041611562</v>
      </c>
      <c r="L429">
        <v>0</v>
      </c>
      <c r="M429">
        <v>8.0662318657658395E-4</v>
      </c>
      <c r="N429">
        <v>7.285009742085008E-2</v>
      </c>
      <c r="O429">
        <v>1.0420464030158711E-2</v>
      </c>
      <c r="P429">
        <v>1.3263929290717518E-2</v>
      </c>
      <c r="Q429">
        <v>4.4968002053437519E-4</v>
      </c>
      <c r="R429">
        <v>8.0481407164401195E-4</v>
      </c>
      <c r="S429">
        <v>7.2604284278711989E-2</v>
      </c>
      <c r="T429">
        <v>0.8137146952729456</v>
      </c>
      <c r="U429">
        <v>0</v>
      </c>
      <c r="V429">
        <v>9.1100487503399594E-2</v>
      </c>
      <c r="W429">
        <v>4.8034276824255456E-2</v>
      </c>
      <c r="X429">
        <v>6.9759600383869453E-3</v>
      </c>
      <c r="Y429">
        <v>2.1904385961275864E-3</v>
      </c>
    </row>
    <row r="430" spans="1:25" x14ac:dyDescent="0.25">
      <c r="A430" s="1096"/>
      <c r="B430" s="1455">
        <v>180</v>
      </c>
      <c r="C430" s="1100">
        <v>0.97385854147580764</v>
      </c>
      <c r="D430" s="1100">
        <v>0.99618251049925455</v>
      </c>
      <c r="E430" s="1100">
        <v>1.0104893309669007</v>
      </c>
      <c r="F430" s="1100">
        <v>0.96514883405375762</v>
      </c>
      <c r="G430" s="1100">
        <v>0.97743150227361641</v>
      </c>
      <c r="H430" s="1100">
        <v>0.99910589217457613</v>
      </c>
      <c r="I430" s="1100">
        <v>0.9887712993679143</v>
      </c>
      <c r="K430">
        <v>1.1242268751617877</v>
      </c>
      <c r="L430">
        <v>0</v>
      </c>
      <c r="M430">
        <v>8.0506462531022751E-4</v>
      </c>
      <c r="N430">
        <v>7.646768932961133E-2</v>
      </c>
      <c r="O430">
        <v>1.0646872833591097E-2</v>
      </c>
      <c r="P430">
        <v>1.3245797824599986E-2</v>
      </c>
      <c r="Q430">
        <v>4.6720724293101675E-4</v>
      </c>
      <c r="R430">
        <v>8.0328000923043539E-4</v>
      </c>
      <c r="S430">
        <v>7.4102292827105343E-2</v>
      </c>
      <c r="T430">
        <v>0.79812063999709459</v>
      </c>
      <c r="U430">
        <v>0</v>
      </c>
      <c r="V430">
        <v>9.1797919252352228E-2</v>
      </c>
      <c r="W430">
        <v>4.9923158624170356E-2</v>
      </c>
      <c r="X430">
        <v>7.2708184624707311E-3</v>
      </c>
      <c r="Y430">
        <v>2.1862633839413691E-3</v>
      </c>
    </row>
    <row r="431" spans="1:25" x14ac:dyDescent="0.25">
      <c r="A431" s="1096"/>
      <c r="B431" s="1455">
        <v>181</v>
      </c>
      <c r="C431" s="1100">
        <v>0.98345745636814463</v>
      </c>
      <c r="D431" s="1100">
        <v>1.0321985674162772</v>
      </c>
      <c r="E431" s="1100">
        <v>0.96160911330540388</v>
      </c>
      <c r="F431" s="1100">
        <v>0.996274713494255</v>
      </c>
      <c r="G431" s="1100">
        <v>0.99438990232646685</v>
      </c>
      <c r="H431" s="1100">
        <v>0.99285448005772736</v>
      </c>
      <c r="I431" s="1100">
        <v>1.0009440705238388</v>
      </c>
      <c r="K431">
        <v>1.1431789157137424</v>
      </c>
      <c r="L431">
        <v>0</v>
      </c>
      <c r="M431">
        <v>8.6419658562815309E-4</v>
      </c>
      <c r="N431">
        <v>7.0803095104189376E-2</v>
      </c>
      <c r="O431">
        <v>1.0378211081967809E-2</v>
      </c>
      <c r="P431">
        <v>1.3135415386029171E-2</v>
      </c>
      <c r="Q431">
        <v>4.3341601884346113E-4</v>
      </c>
      <c r="R431">
        <v>8.6226882758329044E-4</v>
      </c>
      <c r="S431">
        <v>7.2628417165107498E-2</v>
      </c>
      <c r="T431">
        <v>0.82710591721325011</v>
      </c>
      <c r="U431">
        <v>0</v>
      </c>
      <c r="V431">
        <v>9.2267144296143078E-2</v>
      </c>
      <c r="W431">
        <v>4.7602992819303039E-2</v>
      </c>
      <c r="X431">
        <v>6.4794228851142279E-3</v>
      </c>
      <c r="Y431">
        <v>2.3468115018390966E-3</v>
      </c>
    </row>
    <row r="432" spans="1:25" x14ac:dyDescent="0.25">
      <c r="A432" s="1096"/>
      <c r="B432" s="1455">
        <v>182</v>
      </c>
      <c r="C432" s="1100">
        <v>1.0343396760087629</v>
      </c>
      <c r="D432" s="1100">
        <v>0.97400855091766836</v>
      </c>
      <c r="E432" s="1100">
        <v>1.0014226857298516</v>
      </c>
      <c r="F432" s="1100">
        <v>0.95967282558826561</v>
      </c>
      <c r="G432" s="1100">
        <v>0.98627237553317748</v>
      </c>
      <c r="H432" s="1100">
        <v>0.96482733747110694</v>
      </c>
      <c r="I432" s="1100">
        <v>0.99289051295932818</v>
      </c>
      <c r="K432">
        <v>1.1021030018273763</v>
      </c>
      <c r="L432">
        <v>0</v>
      </c>
      <c r="M432">
        <v>7.5263995079440766E-4</v>
      </c>
      <c r="N432">
        <v>6.9551914879136978E-2</v>
      </c>
      <c r="O432">
        <v>1.0112082354080764E-2</v>
      </c>
      <c r="P432">
        <v>1.3025028315683768E-2</v>
      </c>
      <c r="Q432">
        <v>4.3972698635693361E-4</v>
      </c>
      <c r="R432">
        <v>7.5091227103655286E-4</v>
      </c>
      <c r="S432">
        <v>6.9511689638941929E-2</v>
      </c>
      <c r="T432">
        <v>0.79416667650414341</v>
      </c>
      <c r="U432">
        <v>0</v>
      </c>
      <c r="V432">
        <v>9.06861933931674E-2</v>
      </c>
      <c r="W432">
        <v>4.5652283319930487E-2</v>
      </c>
      <c r="X432">
        <v>6.915398452094915E-3</v>
      </c>
      <c r="Y432">
        <v>2.0437356635978764E-3</v>
      </c>
    </row>
    <row r="433" spans="1:25" x14ac:dyDescent="0.25">
      <c r="A433" s="1096"/>
      <c r="B433" s="1455">
        <v>183</v>
      </c>
      <c r="C433" s="1100">
        <v>0.96554971725503491</v>
      </c>
      <c r="D433" s="1100">
        <v>1.0030994318308348</v>
      </c>
      <c r="E433" s="1100">
        <v>0.98753417687199563</v>
      </c>
      <c r="F433" s="1100">
        <v>1.0029011606456217</v>
      </c>
      <c r="G433" s="1100">
        <v>1.0276939442907267</v>
      </c>
      <c r="H433" s="1100">
        <v>1.0053819924461009</v>
      </c>
      <c r="I433" s="1100">
        <v>1.0117448539316505</v>
      </c>
      <c r="K433">
        <v>1.1613767712461496</v>
      </c>
      <c r="L433">
        <v>0</v>
      </c>
      <c r="M433">
        <v>8.5456607272131309E-4</v>
      </c>
      <c r="N433">
        <v>7.5731630363393435E-2</v>
      </c>
      <c r="O433">
        <v>1.0701041125187343E-2</v>
      </c>
      <c r="P433">
        <v>1.352623397352151E-2</v>
      </c>
      <c r="Q433">
        <v>4.5886720453728821E-4</v>
      </c>
      <c r="R433">
        <v>8.5268355045170529E-4</v>
      </c>
      <c r="S433">
        <v>7.6444274535766979E-2</v>
      </c>
      <c r="T433">
        <v>0.83086445222662353</v>
      </c>
      <c r="U433">
        <v>0</v>
      </c>
      <c r="V433">
        <v>9.4162162551082215E-2</v>
      </c>
      <c r="W433">
        <v>5.0122338553100734E-2</v>
      </c>
      <c r="X433">
        <v>7.0469296979330139E-3</v>
      </c>
      <c r="Y433">
        <v>2.3207235372726793E-3</v>
      </c>
    </row>
    <row r="434" spans="1:25" x14ac:dyDescent="0.25">
      <c r="A434" s="1096"/>
      <c r="B434" s="1455">
        <v>184</v>
      </c>
      <c r="C434" s="1100">
        <v>0.97131389666318724</v>
      </c>
      <c r="D434" s="1100">
        <v>1.0283313724043388</v>
      </c>
      <c r="E434" s="1100">
        <v>0.96627625065352196</v>
      </c>
      <c r="F434" s="1100">
        <v>0.98091630472408253</v>
      </c>
      <c r="G434" s="1100">
        <v>0.99780417220429107</v>
      </c>
      <c r="H434" s="1100">
        <v>1.0079069606280795</v>
      </c>
      <c r="I434" s="1100">
        <v>1.0368594096905253</v>
      </c>
      <c r="K434">
        <v>1.1390326984766201</v>
      </c>
      <c r="L434">
        <v>0</v>
      </c>
      <c r="M434">
        <v>8.8107944637191881E-4</v>
      </c>
      <c r="N434">
        <v>7.3216550939160213E-2</v>
      </c>
      <c r="O434">
        <v>1.0525296450021501E-2</v>
      </c>
      <c r="P434">
        <v>1.3073247577237357E-2</v>
      </c>
      <c r="Q434">
        <v>4.4166753186031666E-4</v>
      </c>
      <c r="R434">
        <v>8.7914338016932298E-4</v>
      </c>
      <c r="S434">
        <v>7.6973658998240935E-2</v>
      </c>
      <c r="T434">
        <v>0.81404695843347841</v>
      </c>
      <c r="U434">
        <v>0</v>
      </c>
      <c r="V434">
        <v>9.2728683545693594E-2</v>
      </c>
      <c r="W434">
        <v>4.908532625284337E-2</v>
      </c>
      <c r="X434">
        <v>6.5505063430029318E-3</v>
      </c>
      <c r="Y434">
        <v>2.3927384712835132E-3</v>
      </c>
    </row>
    <row r="435" spans="1:25" x14ac:dyDescent="0.25">
      <c r="A435" s="1096"/>
      <c r="B435" s="1455">
        <v>185</v>
      </c>
      <c r="C435" s="1100">
        <v>0.98890967644171979</v>
      </c>
      <c r="D435" s="1100">
        <v>0.97796193637238893</v>
      </c>
      <c r="E435" s="1100">
        <v>0.99034439229669857</v>
      </c>
      <c r="F435" s="1100">
        <v>1.0286921349676557</v>
      </c>
      <c r="G435" s="1100">
        <v>1.0069945171648556</v>
      </c>
      <c r="H435" s="1100">
        <v>0.97796381034287405</v>
      </c>
      <c r="I435" s="1100">
        <v>1.0089500899746418</v>
      </c>
      <c r="K435">
        <v>1.1741082931843072</v>
      </c>
      <c r="L435">
        <v>0</v>
      </c>
      <c r="M435">
        <v>8.1514885450746307E-4</v>
      </c>
      <c r="N435">
        <v>7.2850405541611915E-2</v>
      </c>
      <c r="O435">
        <v>1.0555806098347342E-2</v>
      </c>
      <c r="P435">
        <v>1.379173756653497E-2</v>
      </c>
      <c r="Q435">
        <v>4.5392773298576921E-4</v>
      </c>
      <c r="R435">
        <v>8.1330282041834395E-4</v>
      </c>
      <c r="S435">
        <v>7.4263556589706167E-2</v>
      </c>
      <c r="T435">
        <v>0.8520388443897603</v>
      </c>
      <c r="U435">
        <v>0</v>
      </c>
      <c r="V435">
        <v>9.2671236056207612E-2</v>
      </c>
      <c r="W435">
        <v>4.8134254342017062E-2</v>
      </c>
      <c r="X435">
        <v>7.1368287292484772E-3</v>
      </c>
      <c r="Y435">
        <v>2.2135421719760356E-3</v>
      </c>
    </row>
    <row r="436" spans="1:25" x14ac:dyDescent="0.25">
      <c r="A436" s="1096"/>
      <c r="B436" s="1455">
        <v>186</v>
      </c>
      <c r="C436" s="1100">
        <v>0.96193309242165637</v>
      </c>
      <c r="D436" s="1100">
        <v>0.96240784594679607</v>
      </c>
      <c r="E436" s="1100">
        <v>0.99708119403336026</v>
      </c>
      <c r="F436" s="1100">
        <v>1.0215252472109011</v>
      </c>
      <c r="G436" s="1100">
        <v>0.97284402009514404</v>
      </c>
      <c r="H436" s="1100">
        <v>1.0409554400585155</v>
      </c>
      <c r="I436" s="1100">
        <v>0.97602289957503985</v>
      </c>
      <c r="K436">
        <v>1.183532159951076</v>
      </c>
      <c r="L436">
        <v>0</v>
      </c>
      <c r="M436">
        <v>8.8527905877915753E-4</v>
      </c>
      <c r="N436">
        <v>8.0756653235552173E-2</v>
      </c>
      <c r="O436">
        <v>1.0923976027968286E-2</v>
      </c>
      <c r="P436">
        <v>1.380329410158743E-2</v>
      </c>
      <c r="Q436">
        <v>4.7296306099822841E-4</v>
      </c>
      <c r="R436">
        <v>8.833955240604369E-4</v>
      </c>
      <c r="S436">
        <v>7.7116023492978983E-2</v>
      </c>
      <c r="T436">
        <v>0.84564568852070865</v>
      </c>
      <c r="U436">
        <v>0</v>
      </c>
      <c r="V436">
        <v>9.1914874856907983E-2</v>
      </c>
      <c r="W436">
        <v>5.3143850433559403E-2</v>
      </c>
      <c r="X436">
        <v>7.3524083502966237E-3</v>
      </c>
      <c r="Y436">
        <v>2.4043114052362674E-3</v>
      </c>
    </row>
    <row r="437" spans="1:25" x14ac:dyDescent="0.25">
      <c r="A437" s="1096"/>
      <c r="B437" s="1455">
        <v>187</v>
      </c>
      <c r="C437" s="1100">
        <v>0.98381082172111245</v>
      </c>
      <c r="D437" s="1100">
        <v>1.0092383358312655</v>
      </c>
      <c r="E437" s="1100">
        <v>1.0211427998512081</v>
      </c>
      <c r="F437" s="1100">
        <v>1.0045423646758755</v>
      </c>
      <c r="G437" s="1100">
        <v>0.99390128908111985</v>
      </c>
      <c r="H437" s="1100">
        <v>1.0311091929499561</v>
      </c>
      <c r="I437" s="1100">
        <v>1.0428693550520414</v>
      </c>
      <c r="K437">
        <v>1.164511968170481</v>
      </c>
      <c r="L437">
        <v>0</v>
      </c>
      <c r="M437">
        <v>8.0024992350814349E-4</v>
      </c>
      <c r="N437">
        <v>7.8499154258910117E-2</v>
      </c>
      <c r="O437">
        <v>1.0487960023384363E-2</v>
      </c>
      <c r="P437">
        <v>1.3854985937173133E-2</v>
      </c>
      <c r="Q437">
        <v>4.6514546689415461E-4</v>
      </c>
      <c r="R437">
        <v>7.98531039542613E-4</v>
      </c>
      <c r="S437">
        <v>7.8239399760615586E-2</v>
      </c>
      <c r="T437">
        <v>0.82999371556707879</v>
      </c>
      <c r="U437">
        <v>0</v>
      </c>
      <c r="V437">
        <v>9.224630278786064E-2</v>
      </c>
      <c r="W437">
        <v>5.0929949127600668E-2</v>
      </c>
      <c r="X437">
        <v>7.6237358709808391E-3</v>
      </c>
      <c r="Y437">
        <v>2.1733382539485535E-3</v>
      </c>
    </row>
    <row r="438" spans="1:25" x14ac:dyDescent="0.25">
      <c r="A438" s="1096"/>
      <c r="B438" s="1455">
        <v>188</v>
      </c>
      <c r="C438" s="1100">
        <v>1.0258113141664549</v>
      </c>
      <c r="D438" s="1100">
        <v>0.99846836036666253</v>
      </c>
      <c r="E438" s="1100">
        <v>0.98766266572907147</v>
      </c>
      <c r="F438" s="1100">
        <v>1.0026595751850329</v>
      </c>
      <c r="G438" s="1100">
        <v>1.0041791609837689</v>
      </c>
      <c r="H438" s="1100">
        <v>1.0328123250083006</v>
      </c>
      <c r="I438" s="1100">
        <v>0.99596352969894064</v>
      </c>
      <c r="K438">
        <v>1.1494172284903805</v>
      </c>
      <c r="L438">
        <v>0</v>
      </c>
      <c r="M438">
        <v>8.2762091559734343E-4</v>
      </c>
      <c r="N438">
        <v>7.3376556233592044E-2</v>
      </c>
      <c r="O438">
        <v>1.0091107252877349E-2</v>
      </c>
      <c r="P438">
        <v>1.343179134077168E-2</v>
      </c>
      <c r="Q438">
        <v>4.3276914208777325E-4</v>
      </c>
      <c r="R438">
        <v>8.2584617197750969E-4</v>
      </c>
      <c r="S438">
        <v>7.2083616707384612E-2</v>
      </c>
      <c r="T438">
        <v>0.83065572718233494</v>
      </c>
      <c r="U438">
        <v>0</v>
      </c>
      <c r="V438">
        <v>9.1649134168050636E-2</v>
      </c>
      <c r="W438">
        <v>4.8559907635626273E-2</v>
      </c>
      <c r="X438">
        <v>6.8907125312702199E-3</v>
      </c>
      <c r="Y438">
        <v>2.2476810400053546E-3</v>
      </c>
    </row>
    <row r="439" spans="1:25" x14ac:dyDescent="0.25">
      <c r="A439" s="1096"/>
      <c r="B439" s="1455">
        <v>189</v>
      </c>
      <c r="C439" s="1100">
        <v>0.98175582722070143</v>
      </c>
      <c r="D439" s="1100">
        <v>0.98685271218900117</v>
      </c>
      <c r="E439" s="1100">
        <v>1.0053674538962256</v>
      </c>
      <c r="F439" s="1100">
        <v>0.99093559339509041</v>
      </c>
      <c r="G439" s="1100">
        <v>1.0383930158142567</v>
      </c>
      <c r="H439" s="1100">
        <v>1.0106066822536004</v>
      </c>
      <c r="I439" s="1100">
        <v>0.98077282751039818</v>
      </c>
      <c r="K439">
        <v>1.148634778713816</v>
      </c>
      <c r="L439">
        <v>0</v>
      </c>
      <c r="M439">
        <v>8.19498475404511E-4</v>
      </c>
      <c r="N439">
        <v>7.6646065092913898E-2</v>
      </c>
      <c r="O439">
        <v>1.059933624930556E-2</v>
      </c>
      <c r="P439">
        <v>1.3519756281414119E-2</v>
      </c>
      <c r="Q439">
        <v>4.6274317755345777E-4</v>
      </c>
      <c r="R439">
        <v>8.1770253648404448E-4</v>
      </c>
      <c r="S439">
        <v>7.3728720501364711E-2</v>
      </c>
      <c r="T439">
        <v>0.81977947043401811</v>
      </c>
      <c r="U439">
        <v>0</v>
      </c>
      <c r="V439">
        <v>9.4198361110746573E-2</v>
      </c>
      <c r="W439">
        <v>5.0191222444797595E-2</v>
      </c>
      <c r="X439">
        <v>7.2853826118818091E-3</v>
      </c>
      <c r="Y439">
        <v>2.2255167487408626E-3</v>
      </c>
    </row>
    <row r="440" spans="1:25" x14ac:dyDescent="0.25">
      <c r="A440" s="1096"/>
      <c r="B440" s="1455">
        <v>190</v>
      </c>
      <c r="C440" s="1100">
        <v>1.0107627564271719</v>
      </c>
      <c r="D440" s="1100">
        <v>0.97334681743064766</v>
      </c>
      <c r="E440" s="1100">
        <v>1.0340167300965006</v>
      </c>
      <c r="F440" s="1100">
        <v>0.99171336061140314</v>
      </c>
      <c r="G440" s="1100">
        <v>1.0407289972484894</v>
      </c>
      <c r="H440" s="1100">
        <v>1.0364967732840138</v>
      </c>
      <c r="I440" s="1100">
        <v>1.0242451497607192</v>
      </c>
      <c r="K440">
        <v>1.1527461487423922</v>
      </c>
      <c r="L440">
        <v>0</v>
      </c>
      <c r="M440">
        <v>7.7338436848369224E-4</v>
      </c>
      <c r="N440">
        <v>7.8867356730409802E-2</v>
      </c>
      <c r="O440">
        <v>1.0361466809809729E-2</v>
      </c>
      <c r="P440">
        <v>1.3819114134933331E-2</v>
      </c>
      <c r="Q440">
        <v>4.6542986299039345E-4</v>
      </c>
      <c r="R440">
        <v>7.7173182455323743E-4</v>
      </c>
      <c r="S440">
        <v>7.6432275811061032E-2</v>
      </c>
      <c r="T440">
        <v>0.81856003044914061</v>
      </c>
      <c r="U440">
        <v>0</v>
      </c>
      <c r="V440">
        <v>9.3577587070566418E-2</v>
      </c>
      <c r="W440">
        <v>5.0787154155214558E-2</v>
      </c>
      <c r="X440">
        <v>7.7769866370895058E-3</v>
      </c>
      <c r="Y440">
        <v>2.1003996251063202E-3</v>
      </c>
    </row>
    <row r="441" spans="1:25" x14ac:dyDescent="0.25">
      <c r="A441" s="1096"/>
      <c r="B441" s="1455">
        <v>191</v>
      </c>
      <c r="C441" s="1100">
        <v>0.97455485692177946</v>
      </c>
      <c r="D441" s="1100">
        <v>1.0010303960306051</v>
      </c>
      <c r="E441" s="1100">
        <v>0.99686043595486151</v>
      </c>
      <c r="F441" s="1100">
        <v>1.0192898033671371</v>
      </c>
      <c r="G441" s="1100">
        <v>1.006249253085941</v>
      </c>
      <c r="H441" s="1100">
        <v>1.0063643986102064</v>
      </c>
      <c r="I441" s="1100">
        <v>1.0051310186814639</v>
      </c>
      <c r="K441">
        <v>1.1722902302116283</v>
      </c>
      <c r="L441">
        <v>0</v>
      </c>
      <c r="M441">
        <v>8.3196570896385295E-4</v>
      </c>
      <c r="N441">
        <v>7.5837148985561903E-2</v>
      </c>
      <c r="O441">
        <v>1.0614047793786101E-2</v>
      </c>
      <c r="P441">
        <v>1.3767242232333179E-2</v>
      </c>
      <c r="Q441">
        <v>4.5944231463981335E-4</v>
      </c>
      <c r="R441">
        <v>8.3013476210487287E-4</v>
      </c>
      <c r="S441">
        <v>7.5375057683451888E-2</v>
      </c>
      <c r="T441">
        <v>0.84381004806109483</v>
      </c>
      <c r="U441">
        <v>0</v>
      </c>
      <c r="V441">
        <v>9.3009429157406537E-2</v>
      </c>
      <c r="W441">
        <v>4.9913016966524212E-2</v>
      </c>
      <c r="X441">
        <v>7.2472747950893569E-3</v>
      </c>
      <c r="Y441">
        <v>2.2593531685986827E-3</v>
      </c>
    </row>
    <row r="442" spans="1:25" x14ac:dyDescent="0.25">
      <c r="A442" s="1096"/>
      <c r="B442" s="1455">
        <v>192</v>
      </c>
      <c r="C442" s="1100">
        <v>1.0279235712112533</v>
      </c>
      <c r="D442" s="1100">
        <v>1.0291275389927035</v>
      </c>
      <c r="E442" s="1100">
        <v>0.99561061334786527</v>
      </c>
      <c r="F442" s="1100">
        <v>0.9930283512839001</v>
      </c>
      <c r="G442" s="1100">
        <v>0.99009241106298895</v>
      </c>
      <c r="H442" s="1100">
        <v>0.99565697635282457</v>
      </c>
      <c r="I442" s="1100">
        <v>1.0439072049614946</v>
      </c>
      <c r="K442">
        <v>1.1352530678356443</v>
      </c>
      <c r="L442">
        <v>0</v>
      </c>
      <c r="M442">
        <v>7.7378774947742116E-4</v>
      </c>
      <c r="N442">
        <v>7.0266411965713343E-2</v>
      </c>
      <c r="O442">
        <v>9.9517755457459497E-3</v>
      </c>
      <c r="P442">
        <v>1.3396829712389972E-2</v>
      </c>
      <c r="Q442">
        <v>4.3023306435024125E-4</v>
      </c>
      <c r="R442">
        <v>7.7206652431436869E-4</v>
      </c>
      <c r="S442">
        <v>7.2734186096188466E-2</v>
      </c>
      <c r="T442">
        <v>0.82215205587889717</v>
      </c>
      <c r="U442">
        <v>0</v>
      </c>
      <c r="V442">
        <v>9.0998231409433541E-2</v>
      </c>
      <c r="W442">
        <v>4.6281046119335964E-2</v>
      </c>
      <c r="X442">
        <v>6.9427087012288958E-3</v>
      </c>
      <c r="Y442">
        <v>2.1013105675223736E-3</v>
      </c>
    </row>
    <row r="443" spans="1:25" x14ac:dyDescent="0.25">
      <c r="A443" s="1096"/>
      <c r="B443" s="1455">
        <v>193</v>
      </c>
      <c r="C443" s="1100">
        <v>0.96969077620220046</v>
      </c>
      <c r="D443" s="1100">
        <v>1.0350140889750703</v>
      </c>
      <c r="E443" s="1100">
        <v>0.98077889831809961</v>
      </c>
      <c r="F443" s="1100">
        <v>1.0077545921127642</v>
      </c>
      <c r="G443" s="1100">
        <v>1.0044519027618093</v>
      </c>
      <c r="H443" s="1100">
        <v>1.0133051628119287</v>
      </c>
      <c r="I443" s="1100">
        <v>1.0176336273511226</v>
      </c>
      <c r="K443">
        <v>1.1618885807468782</v>
      </c>
      <c r="L443">
        <v>0</v>
      </c>
      <c r="M443">
        <v>8.5886658606207096E-4</v>
      </c>
      <c r="N443">
        <v>7.4574603856574509E-2</v>
      </c>
      <c r="O443">
        <v>1.0520440033390052E-2</v>
      </c>
      <c r="P443">
        <v>1.3492004081757046E-2</v>
      </c>
      <c r="Q443">
        <v>4.4804319537386381E-4</v>
      </c>
      <c r="R443">
        <v>8.5698938397034256E-4</v>
      </c>
      <c r="S443">
        <v>7.5667112666308434E-2</v>
      </c>
      <c r="T443">
        <v>0.83533952174025705</v>
      </c>
      <c r="U443">
        <v>0</v>
      </c>
      <c r="V443">
        <v>9.305772416083502E-2</v>
      </c>
      <c r="W443">
        <v>4.9557642386940708E-2</v>
      </c>
      <c r="X443">
        <v>6.9009232308388496E-3</v>
      </c>
      <c r="Y443">
        <v>2.3324425966927713E-3</v>
      </c>
    </row>
    <row r="444" spans="1:25" x14ac:dyDescent="0.25">
      <c r="A444" s="1096"/>
      <c r="B444" s="1455">
        <v>194</v>
      </c>
      <c r="C444" s="1100">
        <v>1.0266917995013289</v>
      </c>
      <c r="D444" s="1100">
        <v>1.0249509078579051</v>
      </c>
      <c r="E444" s="1100">
        <v>1.0186778341202258</v>
      </c>
      <c r="F444" s="1100">
        <v>0.99881523894224244</v>
      </c>
      <c r="G444" s="1100">
        <v>0.96371346444201778</v>
      </c>
      <c r="H444" s="1100">
        <v>1.0227129238735224</v>
      </c>
      <c r="I444" s="1100">
        <v>0.98217320019654231</v>
      </c>
      <c r="K444">
        <v>1.1405659248220643</v>
      </c>
      <c r="L444">
        <v>0</v>
      </c>
      <c r="M444">
        <v>7.5978350658264637E-4</v>
      </c>
      <c r="N444">
        <v>7.3976191935200233E-2</v>
      </c>
      <c r="O444">
        <v>9.9872255485871312E-3</v>
      </c>
      <c r="P444">
        <v>1.3616579512235678E-2</v>
      </c>
      <c r="Q444">
        <v>4.4185352380357639E-4</v>
      </c>
      <c r="R444">
        <v>7.5813814370194032E-4</v>
      </c>
      <c r="S444">
        <v>6.9726587731309367E-2</v>
      </c>
      <c r="T444">
        <v>0.82542314220777624</v>
      </c>
      <c r="U444">
        <v>0</v>
      </c>
      <c r="V444">
        <v>8.9903166817198482E-2</v>
      </c>
      <c r="W444">
        <v>4.8064739398219404E-2</v>
      </c>
      <c r="X444">
        <v>7.364681403630325E-3</v>
      </c>
      <c r="Y444">
        <v>2.0634021069847771E-3</v>
      </c>
    </row>
    <row r="445" spans="1:25" x14ac:dyDescent="0.25">
      <c r="A445" s="1096"/>
      <c r="B445" s="1455">
        <v>195</v>
      </c>
      <c r="C445" s="1100">
        <v>0.99496024976898878</v>
      </c>
      <c r="D445" s="1100">
        <v>0.97353960359586023</v>
      </c>
      <c r="E445" s="1100">
        <v>1.0010199360943717</v>
      </c>
      <c r="F445" s="1100">
        <v>1.0286615237832075</v>
      </c>
      <c r="G445" s="1100">
        <v>1.0229732649944607</v>
      </c>
      <c r="H445" s="1100">
        <v>1.0000005002691297</v>
      </c>
      <c r="I445" s="1100">
        <v>0.99420957926437592</v>
      </c>
      <c r="K445">
        <v>1.1768307637292468</v>
      </c>
      <c r="L445">
        <v>0</v>
      </c>
      <c r="M445">
        <v>8.1178661485152581E-4</v>
      </c>
      <c r="N445">
        <v>7.4932540136394526E-2</v>
      </c>
      <c r="O445">
        <v>1.0514198637136494E-2</v>
      </c>
      <c r="P445">
        <v>1.3893517383342883E-2</v>
      </c>
      <c r="Q445">
        <v>4.5702820194008006E-4</v>
      </c>
      <c r="R445">
        <v>8.099887077542984E-4</v>
      </c>
      <c r="S445">
        <v>7.3821745422294305E-2</v>
      </c>
      <c r="T445">
        <v>0.8512849256001549</v>
      </c>
      <c r="U445">
        <v>0</v>
      </c>
      <c r="V445">
        <v>9.3203522877390144E-2</v>
      </c>
      <c r="W445">
        <v>4.9195765805759205E-2</v>
      </c>
      <c r="X445">
        <v>7.3247953221285203E-3</v>
      </c>
      <c r="Y445">
        <v>2.2045222498014495E-3</v>
      </c>
    </row>
    <row r="446" spans="1:25" x14ac:dyDescent="0.25">
      <c r="A446" s="1096"/>
      <c r="B446" s="1455">
        <v>196</v>
      </c>
      <c r="C446" s="1100">
        <v>1.0089600317095662</v>
      </c>
      <c r="D446" s="1100">
        <v>0.98092218746283988</v>
      </c>
      <c r="E446" s="1100">
        <v>1.0127756938798991</v>
      </c>
      <c r="F446" s="1100">
        <v>0.982659425871657</v>
      </c>
      <c r="G446" s="1100">
        <v>0.98965248201449696</v>
      </c>
      <c r="H446" s="1100">
        <v>1.0006003513847448</v>
      </c>
      <c r="I446" s="1100">
        <v>1.0001508877481722</v>
      </c>
      <c r="K446">
        <v>1.1336598238188562</v>
      </c>
      <c r="L446">
        <v>0</v>
      </c>
      <c r="M446">
        <v>7.7932776414710271E-4</v>
      </c>
      <c r="N446">
        <v>7.4536017078286665E-2</v>
      </c>
      <c r="O446">
        <v>1.0340872210091135E-2</v>
      </c>
      <c r="P446">
        <v>1.3445059696973436E-2</v>
      </c>
      <c r="Q446">
        <v>4.5481666950285748E-4</v>
      </c>
      <c r="R446">
        <v>7.7760278013017971E-4</v>
      </c>
      <c r="S446">
        <v>7.2986901777485139E-2</v>
      </c>
      <c r="T446">
        <v>0.81245296066937256</v>
      </c>
      <c r="U446">
        <v>0</v>
      </c>
      <c r="V446">
        <v>9.1435207943936794E-2</v>
      </c>
      <c r="W446">
        <v>4.859655696469134E-2</v>
      </c>
      <c r="X446">
        <v>7.2967773617054416E-3</v>
      </c>
      <c r="Y446">
        <v>2.1163784308267709E-3</v>
      </c>
    </row>
    <row r="447" spans="1:25" x14ac:dyDescent="0.25">
      <c r="A447" s="1096"/>
      <c r="B447" s="1455">
        <v>197</v>
      </c>
      <c r="C447" s="1100">
        <v>0.96737766508795298</v>
      </c>
      <c r="D447" s="1100">
        <v>0.9997813934253903</v>
      </c>
      <c r="E447" s="1100">
        <v>0.99150722769096566</v>
      </c>
      <c r="F447" s="1100">
        <v>0.9914332024735375</v>
      </c>
      <c r="G447" s="1100">
        <v>1.0216353217486438</v>
      </c>
      <c r="H447" s="1100">
        <v>1.0314241375747815</v>
      </c>
      <c r="I447" s="1100">
        <v>1.03165532984968</v>
      </c>
      <c r="K447">
        <v>1.1575146660301379</v>
      </c>
      <c r="L447">
        <v>0</v>
      </c>
      <c r="M447">
        <v>8.6902584453977009E-4</v>
      </c>
      <c r="N447">
        <v>7.7948112757673882E-2</v>
      </c>
      <c r="O447">
        <v>1.0696327407024787E-2</v>
      </c>
      <c r="P447">
        <v>1.346600248335365E-2</v>
      </c>
      <c r="Q447">
        <v>4.6051119095583208E-4</v>
      </c>
      <c r="R447">
        <v>8.6715980440774977E-4</v>
      </c>
      <c r="S447">
        <v>7.9068512276965375E-2</v>
      </c>
      <c r="T447">
        <v>0.82110157869415845</v>
      </c>
      <c r="U447">
        <v>0</v>
      </c>
      <c r="V447">
        <v>9.3855154439399943E-2</v>
      </c>
      <c r="W447">
        <v>5.1466610508461054E-2</v>
      </c>
      <c r="X447">
        <v>7.0935991838326669E-3</v>
      </c>
      <c r="Y447">
        <v>2.3601231284451985E-3</v>
      </c>
    </row>
    <row r="448" spans="1:25" x14ac:dyDescent="0.25">
      <c r="A448" s="1096"/>
      <c r="B448" s="1455">
        <v>198</v>
      </c>
      <c r="C448" s="1100">
        <v>0.97661005660881739</v>
      </c>
      <c r="D448" s="1100">
        <v>0.99775306422411125</v>
      </c>
      <c r="E448" s="1100">
        <v>0.97500836993585283</v>
      </c>
      <c r="F448" s="1100">
        <v>0.95868754377594456</v>
      </c>
      <c r="G448" s="1100">
        <v>1.0134615657410015</v>
      </c>
      <c r="H448" s="1100">
        <v>0.97352358691020202</v>
      </c>
      <c r="I448" s="1100">
        <v>1.0120368621744733</v>
      </c>
      <c r="K448">
        <v>1.1152289080538789</v>
      </c>
      <c r="L448">
        <v>0</v>
      </c>
      <c r="M448">
        <v>8.4138279432168818E-4</v>
      </c>
      <c r="N448">
        <v>7.1785411025599766E-2</v>
      </c>
      <c r="O448">
        <v>1.0598300388674077E-2</v>
      </c>
      <c r="P448">
        <v>1.288014605065551E-2</v>
      </c>
      <c r="Q448">
        <v>4.4871647163578917E-4</v>
      </c>
      <c r="R448">
        <v>8.394686586077327E-4</v>
      </c>
      <c r="S448">
        <v>7.4448809171041214E-2</v>
      </c>
      <c r="T448">
        <v>0.79503748504900396</v>
      </c>
      <c r="U448">
        <v>0</v>
      </c>
      <c r="V448">
        <v>9.3261247109929293E-2</v>
      </c>
      <c r="W448">
        <v>4.7870906498852159E-2</v>
      </c>
      <c r="X448">
        <v>6.6150434662397032E-3</v>
      </c>
      <c r="Y448">
        <v>2.2847569579613112E-3</v>
      </c>
    </row>
    <row r="449" spans="1:25" x14ac:dyDescent="0.25">
      <c r="A449" s="1096"/>
      <c r="B449" s="1455">
        <v>199</v>
      </c>
      <c r="C449" s="1100">
        <v>0.99585210103407773</v>
      </c>
      <c r="D449" s="1100">
        <v>0.97142089924885933</v>
      </c>
      <c r="E449" s="1100">
        <v>1.0400361106145104</v>
      </c>
      <c r="F449" s="1100">
        <v>1.0083259985960378</v>
      </c>
      <c r="G449" s="1100">
        <v>0.99245851658141881</v>
      </c>
      <c r="H449" s="1100">
        <v>1.0282083256936805</v>
      </c>
      <c r="I449" s="1100">
        <v>1.0194734438188702</v>
      </c>
      <c r="K449">
        <v>1.1670402483072961</v>
      </c>
      <c r="L449">
        <v>0</v>
      </c>
      <c r="M449">
        <v>7.6958033626243658E-4</v>
      </c>
      <c r="N449">
        <v>7.991438339927294E-2</v>
      </c>
      <c r="O449">
        <v>1.0526954117153701E-2</v>
      </c>
      <c r="P449">
        <v>1.4049805925898096E-2</v>
      </c>
      <c r="Q449">
        <v>4.756751093636954E-4</v>
      </c>
      <c r="R449">
        <v>7.679226649405425E-4</v>
      </c>
      <c r="S449">
        <v>7.6951666083045114E-2</v>
      </c>
      <c r="T449">
        <v>0.83187755338524905</v>
      </c>
      <c r="U449">
        <v>0</v>
      </c>
      <c r="V449">
        <v>9.1883341807758173E-2</v>
      </c>
      <c r="W449">
        <v>5.128288046511615E-2</v>
      </c>
      <c r="X449">
        <v>7.9896133374301927E-3</v>
      </c>
      <c r="Y449">
        <v>2.0900323483296936E-3</v>
      </c>
    </row>
    <row r="450" spans="1:25" x14ac:dyDescent="0.25">
      <c r="A450" s="1096"/>
      <c r="B450" s="1455">
        <v>200</v>
      </c>
      <c r="C450" s="1100">
        <v>1.0103964820229419</v>
      </c>
      <c r="D450" s="1100">
        <v>1.0027831868963712</v>
      </c>
      <c r="E450" s="1100">
        <v>1.0198714900553665</v>
      </c>
      <c r="F450" s="1100">
        <v>0.98479852439494764</v>
      </c>
      <c r="G450" s="1100">
        <v>1.0277789135707163</v>
      </c>
      <c r="H450" s="1100">
        <v>1.012408294183589</v>
      </c>
      <c r="I450" s="1100">
        <v>1.0142484991387373</v>
      </c>
      <c r="K450">
        <v>1.1380664557419076</v>
      </c>
      <c r="L450">
        <v>0</v>
      </c>
      <c r="M450">
        <v>7.6905959373424406E-4</v>
      </c>
      <c r="N450">
        <v>7.5147837724190536E-2</v>
      </c>
      <c r="O450">
        <v>1.0237831251244389E-2</v>
      </c>
      <c r="P450">
        <v>1.3563730630436237E-2</v>
      </c>
      <c r="Q450">
        <v>4.5347881178463045E-4</v>
      </c>
      <c r="R450">
        <v>7.6737719134046427E-4</v>
      </c>
      <c r="S450">
        <v>7.3568828610223846E-2</v>
      </c>
      <c r="T450">
        <v>0.81376260784763088</v>
      </c>
      <c r="U450">
        <v>0</v>
      </c>
      <c r="V450">
        <v>9.3030993498670778E-2</v>
      </c>
      <c r="W450">
        <v>4.8791890524436006E-2</v>
      </c>
      <c r="X450">
        <v>7.4223914966774565E-3</v>
      </c>
      <c r="Y450">
        <v>2.0885477490056041E-3</v>
      </c>
    </row>
    <row r="451" spans="1:25" x14ac:dyDescent="0.25">
      <c r="A451" s="1096"/>
      <c r="B451" s="1455">
        <v>201</v>
      </c>
      <c r="C451" s="1100">
        <v>1.031851740342969</v>
      </c>
      <c r="D451" s="1100">
        <v>0.9803661070307188</v>
      </c>
      <c r="E451" s="1100">
        <v>0.99902276265736956</v>
      </c>
      <c r="F451" s="1100">
        <v>1.0019680475736727</v>
      </c>
      <c r="G451" s="1100">
        <v>1.0174010636603554</v>
      </c>
      <c r="H451" s="1100">
        <v>1.0160918729676069</v>
      </c>
      <c r="I451" s="1100">
        <v>1.0012041928122244</v>
      </c>
      <c r="K451">
        <v>1.1479016072708332</v>
      </c>
      <c r="L451">
        <v>0</v>
      </c>
      <c r="M451">
        <v>7.9643142757708345E-4</v>
      </c>
      <c r="N451">
        <v>7.3075491060722392E-2</v>
      </c>
      <c r="O451">
        <v>1.010935180072337E-2</v>
      </c>
      <c r="P451">
        <v>1.3534356790508493E-2</v>
      </c>
      <c r="Q451">
        <v>4.3854916563507363E-4</v>
      </c>
      <c r="R451">
        <v>7.9469546247919859E-4</v>
      </c>
      <c r="S451">
        <v>7.2064192024073298E-2</v>
      </c>
      <c r="T451">
        <v>0.82932680325987673</v>
      </c>
      <c r="U451">
        <v>0</v>
      </c>
      <c r="V451">
        <v>9.2074487487602691E-2</v>
      </c>
      <c r="W451">
        <v>4.8033531339017312E-2</v>
      </c>
      <c r="X451">
        <v>7.0836812301904801E-3</v>
      </c>
      <c r="Y451">
        <v>2.1628990775795789E-3</v>
      </c>
    </row>
    <row r="452" spans="1:25" x14ac:dyDescent="0.25">
      <c r="A452" s="1096"/>
      <c r="B452" s="1455">
        <v>202</v>
      </c>
      <c r="C452" s="1100">
        <v>1.0096401348403903</v>
      </c>
      <c r="D452" s="1100">
        <v>0.99200439146431851</v>
      </c>
      <c r="E452" s="1100">
        <v>0.98084555983307931</v>
      </c>
      <c r="F452" s="1100">
        <v>0.97869296994056665</v>
      </c>
      <c r="G452" s="1100">
        <v>1.0347691916555732</v>
      </c>
      <c r="H452" s="1100">
        <v>1.0243195556293792</v>
      </c>
      <c r="I452" s="1100">
        <v>1.00901212205293</v>
      </c>
      <c r="K452">
        <v>1.1341706912863534</v>
      </c>
      <c r="L452">
        <v>0</v>
      </c>
      <c r="M452">
        <v>8.4800960076154646E-4</v>
      </c>
      <c r="N452">
        <v>7.3648488168657045E-2</v>
      </c>
      <c r="O452">
        <v>1.0277193740593072E-2</v>
      </c>
      <c r="P452">
        <v>1.3151595434440817E-2</v>
      </c>
      <c r="Q452">
        <v>4.3771349513488649E-4</v>
      </c>
      <c r="R452">
        <v>8.4617605867534727E-4</v>
      </c>
      <c r="S452">
        <v>7.409009145566979E-2</v>
      </c>
      <c r="T452">
        <v>0.81124564476173699</v>
      </c>
      <c r="U452">
        <v>0</v>
      </c>
      <c r="V452">
        <v>9.3343329360047883E-2</v>
      </c>
      <c r="W452">
        <v>4.8940234811605164E-2</v>
      </c>
      <c r="X452">
        <v>6.7352213107027201E-3</v>
      </c>
      <c r="Y452">
        <v>2.3030122898515201E-3</v>
      </c>
    </row>
    <row r="453" spans="1:25" x14ac:dyDescent="0.25">
      <c r="A453" s="1096"/>
      <c r="B453" s="1455">
        <v>203</v>
      </c>
      <c r="C453" s="1100">
        <v>1.0330925480155635</v>
      </c>
      <c r="D453" s="1100">
        <v>0.97165843203768276</v>
      </c>
      <c r="E453" s="1100">
        <v>0.98835541257582982</v>
      </c>
      <c r="F453" s="1100">
        <v>1.0066629257408539</v>
      </c>
      <c r="G453" s="1100">
        <v>0.98867468482959797</v>
      </c>
      <c r="H453" s="1100">
        <v>1.0044273886209947</v>
      </c>
      <c r="I453" s="1100">
        <v>1.0258333291500239</v>
      </c>
      <c r="K453">
        <v>1.15059556827632</v>
      </c>
      <c r="L453">
        <v>0</v>
      </c>
      <c r="M453">
        <v>8.0679319050182795E-4</v>
      </c>
      <c r="N453">
        <v>7.1675621670143325E-2</v>
      </c>
      <c r="O453">
        <v>1.0129892850578678E-2</v>
      </c>
      <c r="P453">
        <v>1.3492213604072307E-2</v>
      </c>
      <c r="Q453">
        <v>4.347371433801504E-4</v>
      </c>
      <c r="R453">
        <v>8.050142179168129E-4</v>
      </c>
      <c r="S453">
        <v>7.3597234974558251E-2</v>
      </c>
      <c r="T453">
        <v>0.83392587309609789</v>
      </c>
      <c r="U453">
        <v>0</v>
      </c>
      <c r="V453">
        <v>9.0815995246284378E-2</v>
      </c>
      <c r="W453">
        <v>4.7414533274006541E-2</v>
      </c>
      <c r="X453">
        <v>6.9202620614791256E-3</v>
      </c>
      <c r="Y453">
        <v>2.1909833283039492E-3</v>
      </c>
    </row>
    <row r="454" spans="1:25" x14ac:dyDescent="0.25">
      <c r="A454" s="1096"/>
      <c r="B454" s="1455">
        <v>204</v>
      </c>
      <c r="C454" s="1100">
        <v>1.0263278829531632</v>
      </c>
      <c r="D454" s="1100">
        <v>1.0098703447460913</v>
      </c>
      <c r="E454" s="1100">
        <v>0.99023948158862229</v>
      </c>
      <c r="F454" s="1100">
        <v>0.98381792407179069</v>
      </c>
      <c r="G454" s="1100">
        <v>1.0056685003183481</v>
      </c>
      <c r="H454" s="1100">
        <v>1.0213431188841056</v>
      </c>
      <c r="I454" s="1100">
        <v>0.98355272052868781</v>
      </c>
      <c r="K454">
        <v>1.1297978614981523</v>
      </c>
      <c r="L454">
        <v>0</v>
      </c>
      <c r="M454">
        <v>8.0997796467015487E-4</v>
      </c>
      <c r="N454">
        <v>7.2372299208608215E-2</v>
      </c>
      <c r="O454">
        <v>1.0041139402989991E-2</v>
      </c>
      <c r="P454">
        <v>1.3220899415833055E-2</v>
      </c>
      <c r="Q454">
        <v>4.3174991862160938E-4</v>
      </c>
      <c r="R454">
        <v>8.0822154976168206E-4</v>
      </c>
      <c r="S454">
        <v>7.0295359501272039E-2</v>
      </c>
      <c r="T454">
        <v>0.81487757245176817</v>
      </c>
      <c r="U454">
        <v>0</v>
      </c>
      <c r="V454">
        <v>9.170098903299792E-2</v>
      </c>
      <c r="W454">
        <v>4.7821361102078096E-2</v>
      </c>
      <c r="X454">
        <v>6.8385352506021195E-3</v>
      </c>
      <c r="Y454">
        <v>2.199712628289024E-3</v>
      </c>
    </row>
    <row r="455" spans="1:25" x14ac:dyDescent="0.25">
      <c r="A455" s="1096"/>
      <c r="B455" s="1455">
        <v>205</v>
      </c>
      <c r="C455" s="1100">
        <v>0.99680326812139664</v>
      </c>
      <c r="D455" s="1100">
        <v>0.98940998627958832</v>
      </c>
      <c r="E455" s="1100">
        <v>1.0316029452808699</v>
      </c>
      <c r="F455" s="1100">
        <v>1.031931772347858</v>
      </c>
      <c r="G455" s="1100">
        <v>0.98400665863288339</v>
      </c>
      <c r="H455" s="1100">
        <v>0.97521390869754954</v>
      </c>
      <c r="I455" s="1100">
        <v>1.0219064330159822</v>
      </c>
      <c r="K455">
        <v>1.1751286929585969</v>
      </c>
      <c r="L455">
        <v>0</v>
      </c>
      <c r="M455">
        <v>7.3673101437706867E-4</v>
      </c>
      <c r="N455">
        <v>7.4574937526321786E-2</v>
      </c>
      <c r="O455">
        <v>1.0437206259509129E-2</v>
      </c>
      <c r="P455">
        <v>1.4198863459348803E-2</v>
      </c>
      <c r="Q455">
        <v>4.6771621397715828E-4</v>
      </c>
      <c r="R455">
        <v>7.3505786527725719E-4</v>
      </c>
      <c r="S455">
        <v>7.4109687549055156E-2</v>
      </c>
      <c r="T455">
        <v>0.85191855836222519</v>
      </c>
      <c r="U455">
        <v>0</v>
      </c>
      <c r="V455">
        <v>9.1496857037089249E-2</v>
      </c>
      <c r="W455">
        <v>4.809020847720278E-2</v>
      </c>
      <c r="X455">
        <v>7.8357460254424131E-3</v>
      </c>
      <c r="Y455">
        <v>2.000585197524528E-3</v>
      </c>
    </row>
    <row r="456" spans="1:25" x14ac:dyDescent="0.25">
      <c r="A456" s="1096"/>
      <c r="B456" s="1455">
        <v>206</v>
      </c>
      <c r="C456" s="1100">
        <v>1.0123320681481971</v>
      </c>
      <c r="D456" s="1100">
        <v>1.0272774700297249</v>
      </c>
      <c r="E456" s="1100">
        <v>1.0145816151888325</v>
      </c>
      <c r="F456" s="1100">
        <v>0.99304638649272914</v>
      </c>
      <c r="G456" s="1100">
        <v>0.97268168310344305</v>
      </c>
      <c r="H456" s="1100">
        <v>0.99508179541710706</v>
      </c>
      <c r="I456" s="1100">
        <v>1.011102200079925</v>
      </c>
      <c r="K456">
        <v>1.1365748135073772</v>
      </c>
      <c r="L456">
        <v>0</v>
      </c>
      <c r="M456">
        <v>7.5547075881624958E-4</v>
      </c>
      <c r="N456">
        <v>7.2648309968310523E-2</v>
      </c>
      <c r="O456">
        <v>1.0118396711071499E-2</v>
      </c>
      <c r="P456">
        <v>1.3549410251400495E-2</v>
      </c>
      <c r="Q456">
        <v>4.4583415261160785E-4</v>
      </c>
      <c r="R456">
        <v>7.5378930688629788E-4</v>
      </c>
      <c r="S456">
        <v>7.1598354225740665E-2</v>
      </c>
      <c r="T456">
        <v>0.8209228611869207</v>
      </c>
      <c r="U456">
        <v>0</v>
      </c>
      <c r="V456">
        <v>9.062826771350091E-2</v>
      </c>
      <c r="W456">
        <v>4.7315527755509852E-2</v>
      </c>
      <c r="X456">
        <v>7.2979669874736466E-3</v>
      </c>
      <c r="Y456">
        <v>2.0515660067662702E-3</v>
      </c>
    </row>
    <row r="457" spans="1:25" x14ac:dyDescent="0.25">
      <c r="A457" s="1096"/>
      <c r="B457" s="1455">
        <v>207</v>
      </c>
      <c r="C457" s="1100">
        <v>0.99352201961151854</v>
      </c>
      <c r="D457" s="1100">
        <v>1.0051231612415097</v>
      </c>
      <c r="E457" s="1100">
        <v>0.9945636061857781</v>
      </c>
      <c r="F457" s="1100">
        <v>0.99304338801114556</v>
      </c>
      <c r="G457" s="1100">
        <v>1.0273902370054924</v>
      </c>
      <c r="H457" s="1100">
        <v>1.0062220347031718</v>
      </c>
      <c r="I457" s="1100">
        <v>1.0080421654090652</v>
      </c>
      <c r="K457">
        <v>1.1461269624400716</v>
      </c>
      <c r="L457">
        <v>0</v>
      </c>
      <c r="M457">
        <v>8.185245563828912E-4</v>
      </c>
      <c r="N457">
        <v>7.409579049801536E-2</v>
      </c>
      <c r="O457">
        <v>1.0393683706609282E-2</v>
      </c>
      <c r="P457">
        <v>1.3437451239806346E-2</v>
      </c>
      <c r="Q457">
        <v>4.4886361029149082E-4</v>
      </c>
      <c r="R457">
        <v>8.1672293524962338E-4</v>
      </c>
      <c r="S457">
        <v>7.398662162363441E-2</v>
      </c>
      <c r="T457">
        <v>0.82223350520627214</v>
      </c>
      <c r="U457">
        <v>0</v>
      </c>
      <c r="V457">
        <v>9.3427562988666502E-2</v>
      </c>
      <c r="W457">
        <v>4.8833767402136526E-2</v>
      </c>
      <c r="X457">
        <v>7.0486671886654034E-3</v>
      </c>
      <c r="Y457">
        <v>2.2228505971062279E-3</v>
      </c>
    </row>
    <row r="458" spans="1:25" x14ac:dyDescent="0.25">
      <c r="A458" s="1096"/>
      <c r="B458" s="1455">
        <v>208</v>
      </c>
      <c r="C458" s="1100">
        <v>1.0160547413056986</v>
      </c>
      <c r="D458" s="1100">
        <v>1.0022328220364958</v>
      </c>
      <c r="E458" s="1100">
        <v>0.98926020226816092</v>
      </c>
      <c r="F458" s="1100">
        <v>1.0282820680351474</v>
      </c>
      <c r="G458" s="1100">
        <v>0.99899575407796903</v>
      </c>
      <c r="H458" s="1100">
        <v>0.97330811878988677</v>
      </c>
      <c r="I458" s="1100">
        <v>1.0017485070575558</v>
      </c>
      <c r="K458">
        <v>1.1635250443197305</v>
      </c>
      <c r="L458">
        <v>0</v>
      </c>
      <c r="M458">
        <v>7.8364701545711524E-4</v>
      </c>
      <c r="N458">
        <v>6.9805105976586609E-2</v>
      </c>
      <c r="O458">
        <v>1.0173195349768472E-2</v>
      </c>
      <c r="P458">
        <v>1.3714615250291726E-2</v>
      </c>
      <c r="Q458">
        <v>4.3699525178814039E-4</v>
      </c>
      <c r="R458">
        <v>7.8186383327574001E-4</v>
      </c>
      <c r="S458">
        <v>7.067546737189892E-2</v>
      </c>
      <c r="T458">
        <v>0.8517733733355447</v>
      </c>
      <c r="U458">
        <v>0</v>
      </c>
      <c r="V458">
        <v>9.1659641392065241E-2</v>
      </c>
      <c r="W458">
        <v>4.6152112231075189E-2</v>
      </c>
      <c r="X458">
        <v>7.008345730058714E-3</v>
      </c>
      <c r="Y458">
        <v>2.1279756128331946E-3</v>
      </c>
    </row>
    <row r="459" spans="1:25" x14ac:dyDescent="0.25">
      <c r="A459" s="1096"/>
      <c r="B459" s="1455">
        <v>209</v>
      </c>
      <c r="C459" s="1100">
        <v>0.96372458990258947</v>
      </c>
      <c r="D459" s="1100">
        <v>1.0304275301913506</v>
      </c>
      <c r="E459" s="1100">
        <v>0.98274280261144931</v>
      </c>
      <c r="F459" s="1100">
        <v>1.0316034719239857</v>
      </c>
      <c r="G459" s="1100">
        <v>0.99865631918614106</v>
      </c>
      <c r="H459" s="1100">
        <v>0.99545034583470393</v>
      </c>
      <c r="I459" s="1100">
        <v>1.0081055995403152</v>
      </c>
      <c r="K459">
        <v>1.1800298028513332</v>
      </c>
      <c r="L459">
        <v>0</v>
      </c>
      <c r="M459">
        <v>8.4701824456500979E-4</v>
      </c>
      <c r="N459">
        <v>7.3981177568249415E-2</v>
      </c>
      <c r="O459">
        <v>1.0605048600431379E-2</v>
      </c>
      <c r="P459">
        <v>1.3764037789353867E-2</v>
      </c>
      <c r="Q459">
        <v>4.5254804581856128E-4</v>
      </c>
      <c r="R459">
        <v>8.4513373328597846E-4</v>
      </c>
      <c r="S459">
        <v>7.4846080876549287E-2</v>
      </c>
      <c r="T459">
        <v>0.85497281112330181</v>
      </c>
      <c r="U459">
        <v>0</v>
      </c>
      <c r="V459">
        <v>9.2968338778417522E-2</v>
      </c>
      <c r="W459">
        <v>4.9105103594818851E-2</v>
      </c>
      <c r="X459">
        <v>7.0363655619280078E-3</v>
      </c>
      <c r="Y459">
        <v>2.3001754237441303E-3</v>
      </c>
    </row>
    <row r="460" spans="1:25" x14ac:dyDescent="0.25">
      <c r="A460" s="1096"/>
      <c r="B460" s="1455">
        <v>210</v>
      </c>
      <c r="C460" s="1100">
        <v>0.99992794229402804</v>
      </c>
      <c r="D460" s="1100">
        <v>1.0041575344107396</v>
      </c>
      <c r="E460" s="1100">
        <v>0.96846602490935663</v>
      </c>
      <c r="F460" s="1100">
        <v>1.0149419698893218</v>
      </c>
      <c r="G460" s="1100">
        <v>0.98028562637169603</v>
      </c>
      <c r="H460" s="1100">
        <v>1.0022101949406859</v>
      </c>
      <c r="I460" s="1100">
        <v>0.99461043019666628</v>
      </c>
      <c r="K460">
        <v>1.158323870006122</v>
      </c>
      <c r="L460">
        <v>0</v>
      </c>
      <c r="M460">
        <v>8.5529188753030131E-4</v>
      </c>
      <c r="N460">
        <v>7.1545646359767387E-2</v>
      </c>
      <c r="O460">
        <v>1.0322566153185093E-2</v>
      </c>
      <c r="P460">
        <v>1.3388147949937982E-2</v>
      </c>
      <c r="Q460">
        <v>4.3413244225056922E-4</v>
      </c>
      <c r="R460">
        <v>8.5340180349267696E-4</v>
      </c>
      <c r="S460">
        <v>7.2376422458149237E-2</v>
      </c>
      <c r="T460">
        <v>0.84213483555772661</v>
      </c>
      <c r="U460">
        <v>0</v>
      </c>
      <c r="V460">
        <v>9.1249880364269564E-2</v>
      </c>
      <c r="W460">
        <v>4.7901112781099889E-2</v>
      </c>
      <c r="X460">
        <v>6.6503376384941786E-3</v>
      </c>
      <c r="Y460">
        <v>2.322678385278153E-3</v>
      </c>
    </row>
    <row r="461" spans="1:25" x14ac:dyDescent="0.25">
      <c r="A461" s="1096"/>
      <c r="B461" s="1455">
        <v>211</v>
      </c>
      <c r="C461" s="1100">
        <v>0.95150479530841814</v>
      </c>
      <c r="D461" s="1100">
        <v>1.0099210671333625</v>
      </c>
      <c r="E461" s="1100">
        <v>1.0110363617611899</v>
      </c>
      <c r="F461" s="1100">
        <v>1.0238358708425026</v>
      </c>
      <c r="G461" s="1100">
        <v>1.0365410669807331</v>
      </c>
      <c r="H461" s="1100">
        <v>0.98476964923660104</v>
      </c>
      <c r="I461" s="1100">
        <v>0.96868824228511552</v>
      </c>
      <c r="K461">
        <v>1.176592063917584</v>
      </c>
      <c r="L461">
        <v>0</v>
      </c>
      <c r="M461">
        <v>8.0679974479458817E-4</v>
      </c>
      <c r="N461">
        <v>7.6756668952522297E-2</v>
      </c>
      <c r="O461">
        <v>1.0837648938722202E-2</v>
      </c>
      <c r="P461">
        <v>1.3948065376956162E-2</v>
      </c>
      <c r="Q461">
        <v>4.7583892485043839E-4</v>
      </c>
      <c r="R461">
        <v>8.0498524603792021E-4</v>
      </c>
      <c r="S461">
        <v>7.3191249960649976E-2</v>
      </c>
      <c r="T461">
        <v>0.84661444237989814</v>
      </c>
      <c r="U461">
        <v>0</v>
      </c>
      <c r="V461">
        <v>9.4922686894270789E-2</v>
      </c>
      <c r="W461">
        <v>5.0095671305147492E-2</v>
      </c>
      <c r="X461">
        <v>7.5607012069215307E-3</v>
      </c>
      <c r="Y461">
        <v>2.1909044764001811E-3</v>
      </c>
    </row>
    <row r="462" spans="1:25" x14ac:dyDescent="0.25">
      <c r="A462" s="1096"/>
      <c r="B462" s="1455">
        <v>212</v>
      </c>
      <c r="C462" s="1100">
        <v>1.0060341930000636</v>
      </c>
      <c r="D462" s="1100">
        <v>1.0198482559919082</v>
      </c>
      <c r="E462" s="1100">
        <v>0.9958470479609649</v>
      </c>
      <c r="F462" s="1100">
        <v>0.97008050398225976</v>
      </c>
      <c r="G462" s="1100">
        <v>0.95433007953266358</v>
      </c>
      <c r="H462" s="1100">
        <v>1.0103589224323579</v>
      </c>
      <c r="I462" s="1100">
        <v>0.98958466953971702</v>
      </c>
      <c r="K462">
        <v>1.1186478278112195</v>
      </c>
      <c r="L462">
        <v>0</v>
      </c>
      <c r="M462">
        <v>8.0481576879660283E-4</v>
      </c>
      <c r="N462">
        <v>7.3138629091764287E-2</v>
      </c>
      <c r="O462">
        <v>1.0205290179574856E-2</v>
      </c>
      <c r="P462">
        <v>1.3108494305809827E-2</v>
      </c>
      <c r="Q462">
        <v>4.4129806997478233E-4</v>
      </c>
      <c r="R462">
        <v>8.0305157466227062E-4</v>
      </c>
      <c r="S462">
        <v>7.1361523239598518E-2</v>
      </c>
      <c r="T462">
        <v>0.80313776467928077</v>
      </c>
      <c r="U462">
        <v>0</v>
      </c>
      <c r="V462">
        <v>8.9993757866732166E-2</v>
      </c>
      <c r="W462">
        <v>4.8166043123898918E-2</v>
      </c>
      <c r="X462">
        <v>6.9111497883693656E-3</v>
      </c>
      <c r="Y462">
        <v>2.1856416603502592E-3</v>
      </c>
    </row>
    <row r="463" spans="1:25" x14ac:dyDescent="0.25">
      <c r="A463" s="1096"/>
      <c r="B463" s="1455">
        <v>213</v>
      </c>
      <c r="C463" s="1100">
        <v>1.0324000758775762</v>
      </c>
      <c r="D463" s="1100">
        <v>1.0167073934336619</v>
      </c>
      <c r="E463" s="1100">
        <v>0.99241600517335937</v>
      </c>
      <c r="F463" s="1100">
        <v>0.99951480517017022</v>
      </c>
      <c r="G463" s="1100">
        <v>0.97206017254666055</v>
      </c>
      <c r="H463" s="1100">
        <v>0.99643254899237366</v>
      </c>
      <c r="I463" s="1100">
        <v>0.98928433796449056</v>
      </c>
      <c r="K463">
        <v>1.1361486665153484</v>
      </c>
      <c r="L463">
        <v>0</v>
      </c>
      <c r="M463">
        <v>7.7993302178520235E-4</v>
      </c>
      <c r="N463">
        <v>7.0143997000836192E-2</v>
      </c>
      <c r="O463">
        <v>9.9558607286383983E-3</v>
      </c>
      <c r="P463">
        <v>1.3378988197657102E-2</v>
      </c>
      <c r="Q463">
        <v>4.2902520284725053E-4</v>
      </c>
      <c r="R463">
        <v>7.7819947733982601E-4</v>
      </c>
      <c r="S463">
        <v>6.908476396033672E-2</v>
      </c>
      <c r="T463">
        <v>0.82773436171066184</v>
      </c>
      <c r="U463">
        <v>0</v>
      </c>
      <c r="V463">
        <v>9.0122230982366477E-2</v>
      </c>
      <c r="W463">
        <v>4.6288638101236602E-2</v>
      </c>
      <c r="X463">
        <v>6.8945317312830269E-3</v>
      </c>
      <c r="Y463">
        <v>2.1180024439302471E-3</v>
      </c>
    </row>
    <row r="464" spans="1:25" x14ac:dyDescent="0.25">
      <c r="A464" s="1096"/>
      <c r="B464" s="1455">
        <v>214</v>
      </c>
      <c r="C464" s="1100">
        <v>0.97574852582895455</v>
      </c>
      <c r="D464" s="1100">
        <v>1.0301456441973016</v>
      </c>
      <c r="E464" s="1100">
        <v>1.0009072295054393</v>
      </c>
      <c r="F464" s="1100">
        <v>1.026947443065483</v>
      </c>
      <c r="G464" s="1100">
        <v>0.99720522431265191</v>
      </c>
      <c r="H464" s="1100">
        <v>1.0179360611703339</v>
      </c>
      <c r="I464" s="1100">
        <v>1.0392189815737931</v>
      </c>
      <c r="K464">
        <v>1.1800393986643105</v>
      </c>
      <c r="L464">
        <v>0</v>
      </c>
      <c r="M464">
        <v>8.2397406147848018E-4</v>
      </c>
      <c r="N464">
        <v>7.6034592447491223E-2</v>
      </c>
      <c r="O464">
        <v>1.0481524481075222E-2</v>
      </c>
      <c r="P464">
        <v>1.3910911493491596E-2</v>
      </c>
      <c r="Q464">
        <v>4.5555634546778906E-4</v>
      </c>
      <c r="R464">
        <v>8.2218131607175737E-4</v>
      </c>
      <c r="S464">
        <v>7.7201101503863959E-2</v>
      </c>
      <c r="T464">
        <v>0.84987407047862329</v>
      </c>
      <c r="U464">
        <v>0</v>
      </c>
      <c r="V464">
        <v>9.2592289608080594E-2</v>
      </c>
      <c r="W464">
        <v>4.9922642193238588E-2</v>
      </c>
      <c r="X464">
        <v>7.3307963480340214E-3</v>
      </c>
      <c r="Y464">
        <v>2.2377065103493217E-3</v>
      </c>
    </row>
    <row r="465" spans="1:25" x14ac:dyDescent="0.25">
      <c r="A465" s="1096"/>
      <c r="B465" s="1455">
        <v>215</v>
      </c>
      <c r="C465" s="1100">
        <v>0.98524404320202497</v>
      </c>
      <c r="D465" s="1100">
        <v>0.99493974717717759</v>
      </c>
      <c r="E465" s="1100">
        <v>0.98953513949287519</v>
      </c>
      <c r="F465" s="1100">
        <v>1.0165587697558198</v>
      </c>
      <c r="G465" s="1100">
        <v>1.0003897246575701</v>
      </c>
      <c r="H465" s="1100">
        <v>1.0025567573415588</v>
      </c>
      <c r="I465" s="1100">
        <v>0.98201141483610332</v>
      </c>
      <c r="K465">
        <v>1.1649387841696</v>
      </c>
      <c r="L465">
        <v>0</v>
      </c>
      <c r="M465">
        <v>8.3439916712561857E-4</v>
      </c>
      <c r="N465">
        <v>7.439272888192415E-2</v>
      </c>
      <c r="O465">
        <v>1.0522118300776871E-2</v>
      </c>
      <c r="P465">
        <v>1.3627229672723541E-2</v>
      </c>
      <c r="Q465">
        <v>4.5210909510993953E-4</v>
      </c>
      <c r="R465">
        <v>8.3255589068932537E-4</v>
      </c>
      <c r="S465">
        <v>7.2907455100266624E-2</v>
      </c>
      <c r="T465">
        <v>0.84204382619649942</v>
      </c>
      <c r="U465">
        <v>0</v>
      </c>
      <c r="V465">
        <v>9.2481924429621179E-2</v>
      </c>
      <c r="W465">
        <v>4.9177145561068066E-2</v>
      </c>
      <c r="X465">
        <v>7.0701475255647321E-3</v>
      </c>
      <c r="Y465">
        <v>2.2659426824807385E-3</v>
      </c>
    </row>
    <row r="466" spans="1:25" x14ac:dyDescent="0.25">
      <c r="A466" s="1096"/>
      <c r="B466" s="1455">
        <v>216</v>
      </c>
      <c r="C466" s="1100">
        <v>0.98853629384570363</v>
      </c>
      <c r="D466" s="1100">
        <v>1.0274798566747696</v>
      </c>
      <c r="E466" s="1100">
        <v>1.0047748159120955</v>
      </c>
      <c r="F466" s="1100">
        <v>1.0137055524423844</v>
      </c>
      <c r="G466" s="1100">
        <v>0.97802778924859346</v>
      </c>
      <c r="H466" s="1100">
        <v>1.0167717480564309</v>
      </c>
      <c r="I466" s="1100">
        <v>1.0029961167415831</v>
      </c>
      <c r="K466">
        <v>1.1623842442461292</v>
      </c>
      <c r="L466">
        <v>0</v>
      </c>
      <c r="M466">
        <v>8.0672633653190251E-4</v>
      </c>
      <c r="N466">
        <v>7.5317591436076123E-2</v>
      </c>
      <c r="O466">
        <v>1.0357930739545593E-2</v>
      </c>
      <c r="P466">
        <v>1.3732571623265064E-2</v>
      </c>
      <c r="Q466">
        <v>4.5193540906609224E-4</v>
      </c>
      <c r="R466">
        <v>8.0496910760979228E-4</v>
      </c>
      <c r="S466">
        <v>7.3600902686859107E-2</v>
      </c>
      <c r="T466">
        <v>0.83865623697088332</v>
      </c>
      <c r="U466">
        <v>0</v>
      </c>
      <c r="V466">
        <v>9.1444496280924409E-2</v>
      </c>
      <c r="W466">
        <v>4.9338585495722863E-2</v>
      </c>
      <c r="X466">
        <v>7.294890279788753E-3</v>
      </c>
      <c r="Y466">
        <v>2.1908605529188472E-3</v>
      </c>
    </row>
    <row r="467" spans="1:25" x14ac:dyDescent="0.25">
      <c r="A467" s="1096"/>
      <c r="B467" s="1455">
        <v>217</v>
      </c>
      <c r="C467" s="1100">
        <v>0.99940463311984051</v>
      </c>
      <c r="D467" s="1100">
        <v>0.99433108471572074</v>
      </c>
      <c r="E467" s="1100">
        <v>0.98469801332157125</v>
      </c>
      <c r="F467" s="1100">
        <v>0.97085941298121692</v>
      </c>
      <c r="G467" s="1100">
        <v>1.0164535193334074</v>
      </c>
      <c r="H467" s="1100">
        <v>1.0241019837760146</v>
      </c>
      <c r="I467" s="1100">
        <v>0.99982630389505733</v>
      </c>
      <c r="K467">
        <v>1.1284353937938993</v>
      </c>
      <c r="L467">
        <v>0</v>
      </c>
      <c r="M467">
        <v>8.4891782578943318E-4</v>
      </c>
      <c r="N467">
        <v>7.4591564820955081E-2</v>
      </c>
      <c r="O467">
        <v>1.0373985054318502E-2</v>
      </c>
      <c r="P467">
        <v>1.3091843053867448E-2</v>
      </c>
      <c r="Q467">
        <v>4.4356669116071753E-4</v>
      </c>
      <c r="R467">
        <v>8.4708193000937676E-4</v>
      </c>
      <c r="S467">
        <v>7.4074294835467749E-2</v>
      </c>
      <c r="T467">
        <v>0.80450264886720024</v>
      </c>
      <c r="U467">
        <v>0</v>
      </c>
      <c r="V467">
        <v>9.2811842885596699E-2</v>
      </c>
      <c r="W467">
        <v>4.9452003374620197E-2</v>
      </c>
      <c r="X467">
        <v>6.790002333490512E-3</v>
      </c>
      <c r="Y467">
        <v>2.3054777730023442E-3</v>
      </c>
    </row>
    <row r="468" spans="1:25" x14ac:dyDescent="0.25">
      <c r="A468" s="1096"/>
      <c r="B468" s="1455">
        <v>218</v>
      </c>
      <c r="C468" s="1100">
        <v>1.0357545745443326</v>
      </c>
      <c r="D468" s="1100">
        <v>0.98379034402324805</v>
      </c>
      <c r="E468" s="1100">
        <v>1.0040072471506534</v>
      </c>
      <c r="F468" s="1100">
        <v>0.9861576363308846</v>
      </c>
      <c r="G468" s="1100">
        <v>0.99213376379717899</v>
      </c>
      <c r="H468" s="1100">
        <v>1.0230165722215077</v>
      </c>
      <c r="I468" s="1100">
        <v>0.97897787263310743</v>
      </c>
      <c r="K468">
        <v>1.1319923909287244</v>
      </c>
      <c r="L468">
        <v>0</v>
      </c>
      <c r="M468">
        <v>7.8951691469699077E-4</v>
      </c>
      <c r="N468">
        <v>7.3541183390825507E-2</v>
      </c>
      <c r="O468">
        <v>1.005880798238918E-2</v>
      </c>
      <c r="P468">
        <v>1.3361895375433802E-2</v>
      </c>
      <c r="Q468">
        <v>4.3854647054641813E-4</v>
      </c>
      <c r="R468">
        <v>7.878076695809243E-4</v>
      </c>
      <c r="S468">
        <v>7.0347149722638697E-2</v>
      </c>
      <c r="T468">
        <v>0.8159153723846303</v>
      </c>
      <c r="U468">
        <v>0</v>
      </c>
      <c r="V468">
        <v>9.0904418779620771E-2</v>
      </c>
      <c r="W468">
        <v>4.8196813406277385E-2</v>
      </c>
      <c r="X468">
        <v>7.0857598856054861E-3</v>
      </c>
      <c r="Y468">
        <v>2.144152775870795E-3</v>
      </c>
    </row>
    <row r="469" spans="1:25" x14ac:dyDescent="0.25">
      <c r="A469" s="1096"/>
      <c r="B469" s="1455">
        <v>219</v>
      </c>
      <c r="C469" s="1100">
        <v>0.99810773800964003</v>
      </c>
      <c r="D469" s="1100">
        <v>0.98684950376107783</v>
      </c>
      <c r="E469" s="1100">
        <v>1.041942207738018</v>
      </c>
      <c r="F469" s="1100">
        <v>0.97942137894886061</v>
      </c>
      <c r="G469" s="1100">
        <v>0.99645497896066293</v>
      </c>
      <c r="H469" s="1100">
        <v>0.99241852677956077</v>
      </c>
      <c r="I469" s="1100">
        <v>1.0105935989793893</v>
      </c>
      <c r="K469">
        <v>1.1340560527078669</v>
      </c>
      <c r="L469">
        <v>0</v>
      </c>
      <c r="M469">
        <v>7.3353353206306155E-4</v>
      </c>
      <c r="N469">
        <v>7.6603855737225737E-2</v>
      </c>
      <c r="O469">
        <v>1.0437802204700834E-2</v>
      </c>
      <c r="P469">
        <v>1.369251270941103E-2</v>
      </c>
      <c r="Q469">
        <v>4.7253098763095361E-4</v>
      </c>
      <c r="R469">
        <v>7.3189652449869047E-4</v>
      </c>
      <c r="S469">
        <v>7.4016500311952962E-2</v>
      </c>
      <c r="T469">
        <v>0.80790988003276942</v>
      </c>
      <c r="U469">
        <v>0</v>
      </c>
      <c r="V469">
        <v>9.1998177224885472E-2</v>
      </c>
      <c r="W469">
        <v>4.9104544441858404E-2</v>
      </c>
      <c r="X469">
        <v>7.8299049949345847E-3</v>
      </c>
      <c r="Y469">
        <v>1.9919810700609769E-3</v>
      </c>
    </row>
    <row r="470" spans="1:25" x14ac:dyDescent="0.25">
      <c r="A470" s="1096"/>
      <c r="B470" s="1455">
        <v>220</v>
      </c>
      <c r="C470" s="1100">
        <v>0.99372820400727258</v>
      </c>
      <c r="D470" s="1100">
        <v>1.0012449281309397</v>
      </c>
      <c r="E470" s="1100">
        <v>0.99134865177072218</v>
      </c>
      <c r="F470" s="1100">
        <v>1.0005554010679896</v>
      </c>
      <c r="G470" s="1100">
        <v>1.0001173270580008</v>
      </c>
      <c r="H470" s="1100">
        <v>1.0104596964469057</v>
      </c>
      <c r="I470" s="1100">
        <v>0.97262860865579581</v>
      </c>
      <c r="K470">
        <v>1.1494906496931854</v>
      </c>
      <c r="L470">
        <v>0</v>
      </c>
      <c r="M470">
        <v>8.2857416810988062E-4</v>
      </c>
      <c r="N470">
        <v>7.4280824142667554E-2</v>
      </c>
      <c r="O470">
        <v>1.0406551566755826E-2</v>
      </c>
      <c r="P470">
        <v>1.3444981484953945E-2</v>
      </c>
      <c r="Q470">
        <v>4.4796366204069701E-4</v>
      </c>
      <c r="R470">
        <v>8.2675807558192844E-4</v>
      </c>
      <c r="S470">
        <v>7.1679163800510398E-2</v>
      </c>
      <c r="T470">
        <v>0.82866710064007498</v>
      </c>
      <c r="U470">
        <v>0</v>
      </c>
      <c r="V470">
        <v>9.2255816310476885E-2</v>
      </c>
      <c r="W470">
        <v>4.9049872880821674E-2</v>
      </c>
      <c r="X470">
        <v>7.0100283564017299E-3</v>
      </c>
      <c r="Y470">
        <v>2.2501629410076407E-3</v>
      </c>
    </row>
    <row r="471" spans="1:25" x14ac:dyDescent="0.25">
      <c r="A471" s="1096"/>
      <c r="B471" s="1455">
        <v>221</v>
      </c>
      <c r="C471" s="1100">
        <v>1.0162006923622902</v>
      </c>
      <c r="D471" s="1100">
        <v>0.99954706285220674</v>
      </c>
      <c r="E471" s="1100">
        <v>1.0117953937075508</v>
      </c>
      <c r="F471" s="1100">
        <v>1.0127036789644255</v>
      </c>
      <c r="G471" s="1100">
        <v>0.97643383068018419</v>
      </c>
      <c r="H471" s="1100">
        <v>0.9964082206508893</v>
      </c>
      <c r="I471" s="1100">
        <v>0.97858328814188733</v>
      </c>
      <c r="K471">
        <v>1.1526399437473431</v>
      </c>
      <c r="L471">
        <v>0</v>
      </c>
      <c r="M471">
        <v>7.6631721799877471E-4</v>
      </c>
      <c r="N471">
        <v>7.3074436359791606E-2</v>
      </c>
      <c r="O471">
        <v>1.0189917955598879E-2</v>
      </c>
      <c r="P471">
        <v>1.3727280771347401E-2</v>
      </c>
      <c r="Q471">
        <v>4.4773891332163955E-4</v>
      </c>
      <c r="R471">
        <v>7.646138955917037E-4</v>
      </c>
      <c r="S471">
        <v>7.0057131945613443E-2</v>
      </c>
      <c r="T471">
        <v>0.83735857772973998</v>
      </c>
      <c r="U471">
        <v>0</v>
      </c>
      <c r="V471">
        <v>9.0694959994651561E-2</v>
      </c>
      <c r="W471">
        <v>4.7671123747466015E-2</v>
      </c>
      <c r="X471">
        <v>7.339452683321015E-3</v>
      </c>
      <c r="Y471">
        <v>2.0810269688976771E-3</v>
      </c>
    </row>
    <row r="472" spans="1:25" x14ac:dyDescent="0.25">
      <c r="A472" s="1096"/>
      <c r="B472" s="1455">
        <v>222</v>
      </c>
      <c r="C472" s="1100">
        <v>0.9581136006372587</v>
      </c>
      <c r="D472" s="1100">
        <v>1.0160503811026416</v>
      </c>
      <c r="E472" s="1100">
        <v>0.98507038566194927</v>
      </c>
      <c r="F472" s="1100">
        <v>0.96184273000205733</v>
      </c>
      <c r="G472" s="1100">
        <v>0.99744924287331282</v>
      </c>
      <c r="H472" s="1100">
        <v>1.0013794597757619</v>
      </c>
      <c r="I472" s="1100">
        <v>1.0315157799329882</v>
      </c>
      <c r="K472">
        <v>1.1267960106396471</v>
      </c>
      <c r="L472">
        <v>0</v>
      </c>
      <c r="M472">
        <v>8.5774288966956891E-4</v>
      </c>
      <c r="N472">
        <v>7.5448214169666142E-2</v>
      </c>
      <c r="O472">
        <v>1.0728064729010067E-2</v>
      </c>
      <c r="P472">
        <v>1.3048923514931875E-2</v>
      </c>
      <c r="Q472">
        <v>4.5887946009615885E-4</v>
      </c>
      <c r="R472">
        <v>8.5584581674572546E-4</v>
      </c>
      <c r="S472">
        <v>7.7850817345959611E-2</v>
      </c>
      <c r="T472">
        <v>0.79700708715669843</v>
      </c>
      <c r="U472">
        <v>0</v>
      </c>
      <c r="V472">
        <v>9.3067637865046626E-2</v>
      </c>
      <c r="W472">
        <v>5.0008734431658965E-2</v>
      </c>
      <c r="X472">
        <v>6.8502188558176519E-3</v>
      </c>
      <c r="Y472">
        <v>2.329330183684199E-3</v>
      </c>
    </row>
    <row r="473" spans="1:25" x14ac:dyDescent="0.25">
      <c r="A473" s="1096"/>
      <c r="B473" s="1455">
        <v>223</v>
      </c>
      <c r="C473" s="1100">
        <v>1.0106158939964394</v>
      </c>
      <c r="D473" s="1100">
        <v>0.99334323147769354</v>
      </c>
      <c r="E473" s="1100">
        <v>0.98550653823390844</v>
      </c>
      <c r="F473" s="1100">
        <v>1.0034921759261388</v>
      </c>
      <c r="G473" s="1100">
        <v>0.96132439906860734</v>
      </c>
      <c r="H473" s="1100">
        <v>0.95970202879793365</v>
      </c>
      <c r="I473" s="1100">
        <v>1.0414440130104385</v>
      </c>
      <c r="K473">
        <v>1.1434814753030282</v>
      </c>
      <c r="L473">
        <v>0</v>
      </c>
      <c r="M473">
        <v>7.8570605000163115E-4</v>
      </c>
      <c r="N473">
        <v>6.919632359910062E-2</v>
      </c>
      <c r="O473">
        <v>1.026324290902981E-2</v>
      </c>
      <c r="P473">
        <v>1.3422272396193702E-2</v>
      </c>
      <c r="Q473">
        <v>4.3919137300841584E-4</v>
      </c>
      <c r="R473">
        <v>7.8389283517237799E-4</v>
      </c>
      <c r="S473">
        <v>7.3634987916138886E-2</v>
      </c>
      <c r="T473">
        <v>0.83148968134380674</v>
      </c>
      <c r="U473">
        <v>0</v>
      </c>
      <c r="V473">
        <v>9.0179447831247303E-2</v>
      </c>
      <c r="W473">
        <v>4.585281712056459E-2</v>
      </c>
      <c r="X473">
        <v>6.8718261416301522E-3</v>
      </c>
      <c r="Y473">
        <v>2.1334978871355476E-3</v>
      </c>
    </row>
    <row r="474" spans="1:25" x14ac:dyDescent="0.25">
      <c r="A474" s="1096"/>
      <c r="B474" s="1455">
        <v>224</v>
      </c>
      <c r="C474" s="1100">
        <v>0.99149447980591798</v>
      </c>
      <c r="D474" s="1100">
        <v>1.0102145558928839</v>
      </c>
      <c r="E474" s="1100">
        <v>1.0160762730668953</v>
      </c>
      <c r="F474" s="1100">
        <v>1.0061114814364973</v>
      </c>
      <c r="G474" s="1100">
        <v>1.0136687505744382</v>
      </c>
      <c r="H474" s="1100">
        <v>0.95875151408593218</v>
      </c>
      <c r="I474" s="1100">
        <v>0.98545721906129913</v>
      </c>
      <c r="K474">
        <v>1.147881614880546</v>
      </c>
      <c r="L474">
        <v>0</v>
      </c>
      <c r="M474">
        <v>7.4586055880623034E-4</v>
      </c>
      <c r="N474">
        <v>7.2042324657802734E-2</v>
      </c>
      <c r="O474">
        <v>1.0400988599472728E-2</v>
      </c>
      <c r="P474">
        <v>1.3726740106368819E-2</v>
      </c>
      <c r="Q474">
        <v>4.5896887460672155E-4</v>
      </c>
      <c r="R474">
        <v>7.441375910214544E-4</v>
      </c>
      <c r="S474">
        <v>7.040223647820025E-2</v>
      </c>
      <c r="T474">
        <v>0.83162458778317283</v>
      </c>
      <c r="U474">
        <v>0</v>
      </c>
      <c r="V474">
        <v>9.2895070100036295E-2</v>
      </c>
      <c r="W474">
        <v>4.6879689048016454E-2</v>
      </c>
      <c r="X474">
        <v>7.4274349827829671E-3</v>
      </c>
      <c r="Y474">
        <v>2.0252972178694457E-3</v>
      </c>
    </row>
    <row r="475" spans="1:25" x14ac:dyDescent="0.25">
      <c r="A475" s="1096"/>
      <c r="B475" s="1455">
        <v>225</v>
      </c>
      <c r="C475" s="1100">
        <v>1.0401999148278982</v>
      </c>
      <c r="D475" s="1100">
        <v>0.95972291505258034</v>
      </c>
      <c r="E475" s="1100">
        <v>0.99467091314674028</v>
      </c>
      <c r="F475" s="1100">
        <v>0.96856659469325324</v>
      </c>
      <c r="G475" s="1100">
        <v>0.98566466749661519</v>
      </c>
      <c r="H475" s="1100">
        <v>0.99599647536122593</v>
      </c>
      <c r="I475" s="1100">
        <v>1.0349832937737298</v>
      </c>
      <c r="K475">
        <v>1.1174383664143117</v>
      </c>
      <c r="L475">
        <v>0</v>
      </c>
      <c r="M475">
        <v>7.8811420113196029E-4</v>
      </c>
      <c r="N475">
        <v>7.1364461470598814E-2</v>
      </c>
      <c r="O475">
        <v>1.0112557845516531E-2</v>
      </c>
      <c r="P475">
        <v>1.3122342111185173E-2</v>
      </c>
      <c r="Q475">
        <v>4.3677010446623206E-4</v>
      </c>
      <c r="R475">
        <v>7.8636170555910438E-4</v>
      </c>
      <c r="S475">
        <v>7.3876965897694158E-2</v>
      </c>
      <c r="T475">
        <v>0.8019599795449236</v>
      </c>
      <c r="U475">
        <v>0</v>
      </c>
      <c r="V475">
        <v>9.052426755795083E-2</v>
      </c>
      <c r="W475">
        <v>4.7030638110732055E-2</v>
      </c>
      <c r="X475">
        <v>6.87191892835069E-3</v>
      </c>
      <c r="Y475">
        <v>2.1402173384653124E-3</v>
      </c>
    </row>
    <row r="476" spans="1:25" x14ac:dyDescent="0.25">
      <c r="A476" s="1096"/>
      <c r="B476" s="1455">
        <v>226</v>
      </c>
      <c r="C476" s="1100">
        <v>1.0213003899018345</v>
      </c>
      <c r="D476" s="1100">
        <v>1.0133923650122367</v>
      </c>
      <c r="E476" s="1100">
        <v>0.99113342029226381</v>
      </c>
      <c r="F476" s="1100">
        <v>1.0272584738069517</v>
      </c>
      <c r="G476" s="1100">
        <v>1.0003440110288404</v>
      </c>
      <c r="H476" s="1100">
        <v>1.0122824247893119</v>
      </c>
      <c r="I476" s="1100">
        <v>1.0067871586179773</v>
      </c>
      <c r="K476">
        <v>1.1672938873783094</v>
      </c>
      <c r="L476">
        <v>0</v>
      </c>
      <c r="M476">
        <v>8.0413120881262098E-4</v>
      </c>
      <c r="N476">
        <v>7.2042930957847112E-2</v>
      </c>
      <c r="O476">
        <v>1.0076810387486233E-2</v>
      </c>
      <c r="P476">
        <v>1.3735389180955009E-2</v>
      </c>
      <c r="Q476">
        <v>4.3367522974794361E-4</v>
      </c>
      <c r="R476">
        <v>8.0237186467242943E-4</v>
      </c>
      <c r="S476">
        <v>7.1821090561371786E-2</v>
      </c>
      <c r="T476">
        <v>0.85079747590411636</v>
      </c>
      <c r="U476">
        <v>0</v>
      </c>
      <c r="V476">
        <v>9.1592284286710957E-2</v>
      </c>
      <c r="W476">
        <v>4.7578252555357983E-2</v>
      </c>
      <c r="X476">
        <v>7.0339459450314296E-3</v>
      </c>
      <c r="Y476">
        <v>2.1837917138242497E-3</v>
      </c>
    </row>
    <row r="477" spans="1:25" x14ac:dyDescent="0.25">
      <c r="A477" s="1096"/>
      <c r="B477" s="1455">
        <v>227</v>
      </c>
      <c r="C477" s="1100">
        <v>0.96212347577820545</v>
      </c>
      <c r="D477" s="1100">
        <v>0.98084329948870297</v>
      </c>
      <c r="E477" s="1100">
        <v>1.0413933323795093</v>
      </c>
      <c r="F477" s="1100">
        <v>0.98722904532352462</v>
      </c>
      <c r="G477" s="1100">
        <v>0.96841415642526585</v>
      </c>
      <c r="H477" s="1100">
        <v>0.99072917043967379</v>
      </c>
      <c r="I477" s="1100">
        <v>0.99720689345944047</v>
      </c>
      <c r="K477">
        <v>1.1476996356580995</v>
      </c>
      <c r="L477">
        <v>0</v>
      </c>
      <c r="M477">
        <v>7.6240328940459917E-4</v>
      </c>
      <c r="N477">
        <v>7.9486940811280535E-2</v>
      </c>
      <c r="O477">
        <v>1.0854469869721226E-2</v>
      </c>
      <c r="P477">
        <v>1.380127952171532E-2</v>
      </c>
      <c r="Q477">
        <v>4.9112910531371313E-4</v>
      </c>
      <c r="R477">
        <v>7.6069895273163607E-4</v>
      </c>
      <c r="S477">
        <v>7.5933391312909382E-2</v>
      </c>
      <c r="T477">
        <v>0.81438544815877023</v>
      </c>
      <c r="U477">
        <v>0</v>
      </c>
      <c r="V477">
        <v>9.1729254496671922E-2</v>
      </c>
      <c r="W477">
        <v>5.0968746145437172E-2</v>
      </c>
      <c r="X477">
        <v>7.9803087879603257E-3</v>
      </c>
      <c r="Y477">
        <v>2.0703717849931396E-3</v>
      </c>
    </row>
    <row r="478" spans="1:25" x14ac:dyDescent="0.25">
      <c r="A478" s="1096"/>
      <c r="B478" s="1455">
        <v>228</v>
      </c>
      <c r="C478" s="1100">
        <v>1.0295259028397874</v>
      </c>
      <c r="D478" s="1100">
        <v>1.0118261775996911</v>
      </c>
      <c r="E478" s="1100">
        <v>1.0111910747246609</v>
      </c>
      <c r="F478" s="1100">
        <v>0.98595305845253634</v>
      </c>
      <c r="G478" s="1100">
        <v>0.96187072652992645</v>
      </c>
      <c r="H478" s="1100">
        <v>1.0109415584620056</v>
      </c>
      <c r="I478" s="1100">
        <v>0.999376529365128</v>
      </c>
      <c r="K478">
        <v>1.1291924166350122</v>
      </c>
      <c r="L478">
        <v>0</v>
      </c>
      <c r="M478">
        <v>7.646520294653581E-4</v>
      </c>
      <c r="N478">
        <v>7.2785084063083344E-2</v>
      </c>
      <c r="O478">
        <v>1.0008834738469101E-2</v>
      </c>
      <c r="P478">
        <v>1.3414282834216864E-2</v>
      </c>
      <c r="Q478">
        <v>4.3951685102047364E-4</v>
      </c>
      <c r="R478">
        <v>7.6297684216004098E-4</v>
      </c>
      <c r="S478">
        <v>7.0749078604886689E-2</v>
      </c>
      <c r="T478">
        <v>0.81527893213261082</v>
      </c>
      <c r="U478">
        <v>0</v>
      </c>
      <c r="V478">
        <v>8.9756634177117448E-2</v>
      </c>
      <c r="W478">
        <v>4.7499264329386399E-2</v>
      </c>
      <c r="X478">
        <v>7.1858926424150631E-3</v>
      </c>
      <c r="Y478">
        <v>2.0765714491112097E-3</v>
      </c>
    </row>
    <row r="479" spans="1:25" x14ac:dyDescent="0.25">
      <c r="A479" s="1096"/>
      <c r="B479" s="1455">
        <v>229</v>
      </c>
      <c r="C479" s="1100">
        <v>1.0306784868791523</v>
      </c>
      <c r="D479" s="1100">
        <v>0.99009009185749164</v>
      </c>
      <c r="E479" s="1100">
        <v>0.99947905148867111</v>
      </c>
      <c r="F479" s="1100">
        <v>0.96413890528373147</v>
      </c>
      <c r="G479" s="1100">
        <v>1.0387645089997832</v>
      </c>
      <c r="H479" s="1100">
        <v>0.99399214113314838</v>
      </c>
      <c r="I479" s="1100">
        <v>1.0013671023527901</v>
      </c>
      <c r="K479">
        <v>1.1127533076651559</v>
      </c>
      <c r="L479">
        <v>0</v>
      </c>
      <c r="M479">
        <v>7.7618791583298227E-4</v>
      </c>
      <c r="N479">
        <v>7.1312861873728525E-2</v>
      </c>
      <c r="O479">
        <v>1.0081127231772376E-2</v>
      </c>
      <c r="P479">
        <v>1.3109126965425684E-2</v>
      </c>
      <c r="Q479">
        <v>4.3752547765030876E-4</v>
      </c>
      <c r="R479">
        <v>7.7445845988521021E-4</v>
      </c>
      <c r="S479">
        <v>7.0917252678447965E-2</v>
      </c>
      <c r="T479">
        <v>0.79798656749538377</v>
      </c>
      <c r="U479">
        <v>0</v>
      </c>
      <c r="V479">
        <v>9.301524852693048E-2</v>
      </c>
      <c r="W479">
        <v>4.6862212834353573E-2</v>
      </c>
      <c r="X479">
        <v>6.9252934097641296E-3</v>
      </c>
      <c r="Y479">
        <v>2.1078206276448548E-3</v>
      </c>
    </row>
    <row r="480" spans="1:25" x14ac:dyDescent="0.25">
      <c r="A480" s="1096"/>
      <c r="B480" s="1455">
        <v>230</v>
      </c>
      <c r="C480" s="1100">
        <v>1.0080522524194726</v>
      </c>
      <c r="D480" s="1100">
        <v>1.0050298155859032</v>
      </c>
      <c r="E480" s="1100">
        <v>0.99934168025606496</v>
      </c>
      <c r="F480" s="1100">
        <v>0.9798698505611424</v>
      </c>
      <c r="G480" s="1100">
        <v>0.99665729217159549</v>
      </c>
      <c r="H480" s="1100">
        <v>0.99669359796571799</v>
      </c>
      <c r="I480" s="1100">
        <v>1.0106633725433718</v>
      </c>
      <c r="K480">
        <v>1.1290799571069285</v>
      </c>
      <c r="L480">
        <v>0</v>
      </c>
      <c r="M480">
        <v>7.9123922739409369E-4</v>
      </c>
      <c r="N480">
        <v>7.266598671502883E-2</v>
      </c>
      <c r="O480">
        <v>1.0245795504356217E-2</v>
      </c>
      <c r="P480">
        <v>1.3292843926075682E-2</v>
      </c>
      <c r="Q480">
        <v>4.4461073776063867E-4</v>
      </c>
      <c r="R480">
        <v>7.8948101345255089E-4</v>
      </c>
      <c r="S480">
        <v>7.2731021940985713E-2</v>
      </c>
      <c r="T480">
        <v>0.81101547589151801</v>
      </c>
      <c r="U480">
        <v>0</v>
      </c>
      <c r="V480">
        <v>9.1754696181507125E-2</v>
      </c>
      <c r="W480">
        <v>4.7755299880056425E-2</v>
      </c>
      <c r="X480">
        <v>7.0272774773098507E-3</v>
      </c>
      <c r="Y480">
        <v>2.1487070662717031E-3</v>
      </c>
    </row>
    <row r="481" spans="1:25" x14ac:dyDescent="0.25">
      <c r="A481" s="1096"/>
      <c r="B481" s="1455">
        <v>231</v>
      </c>
      <c r="C481" s="1100">
        <v>0.97133419798109566</v>
      </c>
      <c r="D481" s="1100">
        <v>1.0106975728749155</v>
      </c>
      <c r="E481" s="1100">
        <v>0.98831834376481864</v>
      </c>
      <c r="F481" s="1100">
        <v>0.96793928101224336</v>
      </c>
      <c r="G481" s="1100">
        <v>1.0349370940259517</v>
      </c>
      <c r="H481" s="1100">
        <v>1.0205733569849289</v>
      </c>
      <c r="I481" s="1100">
        <v>0.97300788179465403</v>
      </c>
      <c r="K481">
        <v>1.1296595736226949</v>
      </c>
      <c r="L481">
        <v>0</v>
      </c>
      <c r="M481">
        <v>8.583190407025794E-4</v>
      </c>
      <c r="N481">
        <v>7.6247304466539628E-2</v>
      </c>
      <c r="O481">
        <v>1.0605517214235693E-2</v>
      </c>
      <c r="P481">
        <v>1.3103335536935967E-2</v>
      </c>
      <c r="Q481">
        <v>4.5513209464692459E-4</v>
      </c>
      <c r="R481">
        <v>8.5645639567106613E-4</v>
      </c>
      <c r="S481">
        <v>7.3414644164809806E-2</v>
      </c>
      <c r="T481">
        <v>0.80184935224946718</v>
      </c>
      <c r="U481">
        <v>0</v>
      </c>
      <c r="V481">
        <v>9.431916834571423E-2</v>
      </c>
      <c r="W481">
        <v>5.0439893768027218E-2</v>
      </c>
      <c r="X481">
        <v>6.8960964491072948E-3</v>
      </c>
      <c r="Y481">
        <v>2.3309919782416874E-3</v>
      </c>
    </row>
    <row r="482" spans="1:25" x14ac:dyDescent="0.25">
      <c r="A482" s="1096"/>
      <c r="B482" s="1455">
        <v>232</v>
      </c>
      <c r="C482" s="1100">
        <v>0.97358910062417259</v>
      </c>
      <c r="D482" s="1100">
        <v>0.99555063802560606</v>
      </c>
      <c r="E482" s="1100">
        <v>0.97128015873568252</v>
      </c>
      <c r="F482" s="1100">
        <v>0.99904894730039395</v>
      </c>
      <c r="G482" s="1100">
        <v>0.99384522554542232</v>
      </c>
      <c r="H482" s="1100">
        <v>1.0047832841179261</v>
      </c>
      <c r="I482" s="1100">
        <v>1.0041405768306273</v>
      </c>
      <c r="K482">
        <v>1.1539077914599034</v>
      </c>
      <c r="L482">
        <v>0</v>
      </c>
      <c r="M482">
        <v>8.786042109404634E-4</v>
      </c>
      <c r="N482">
        <v>7.4125085657551118E-2</v>
      </c>
      <c r="O482">
        <v>1.0639337189235008E-2</v>
      </c>
      <c r="P482">
        <v>1.3296975954582407E-2</v>
      </c>
      <c r="Q482">
        <v>4.4874370821525254E-4</v>
      </c>
      <c r="R482">
        <v>8.7666758182454538E-4</v>
      </c>
      <c r="S482">
        <v>7.5490488832396285E-2</v>
      </c>
      <c r="T482">
        <v>0.82875893582187621</v>
      </c>
      <c r="U482">
        <v>0</v>
      </c>
      <c r="V482">
        <v>9.2500440787463806E-2</v>
      </c>
      <c r="W482">
        <v>4.9543156749929117E-2</v>
      </c>
      <c r="X482">
        <v>6.7205632234343376E-3</v>
      </c>
      <c r="Y482">
        <v>2.3860001643357331E-3</v>
      </c>
    </row>
    <row r="483" spans="1:25" x14ac:dyDescent="0.25">
      <c r="A483" s="1096"/>
      <c r="B483" s="1455">
        <v>233</v>
      </c>
      <c r="C483" s="1100">
        <v>1.0296396018682143</v>
      </c>
      <c r="D483" s="1100">
        <v>1.0087826961565218</v>
      </c>
      <c r="E483" s="1100">
        <v>1.0415087433848027</v>
      </c>
      <c r="F483" s="1100">
        <v>0.98268368662711403</v>
      </c>
      <c r="G483" s="1100">
        <v>0.97170080651095181</v>
      </c>
      <c r="H483" s="1100">
        <v>0.99844936362294423</v>
      </c>
      <c r="I483" s="1100">
        <v>0.99788021647983305</v>
      </c>
      <c r="K483">
        <v>1.1263383956278152</v>
      </c>
      <c r="L483">
        <v>0</v>
      </c>
      <c r="M483">
        <v>7.0976995424925065E-4</v>
      </c>
      <c r="N483">
        <v>7.4026484740840365E-2</v>
      </c>
      <c r="O483">
        <v>1.002943772323314E-2</v>
      </c>
      <c r="P483">
        <v>1.3648414121855985E-2</v>
      </c>
      <c r="Q483">
        <v>4.5385057117016385E-4</v>
      </c>
      <c r="R483">
        <v>7.0819554676947584E-4</v>
      </c>
      <c r="S483">
        <v>7.0288016098774553E-2</v>
      </c>
      <c r="T483">
        <v>0.81062853265737123</v>
      </c>
      <c r="U483">
        <v>0</v>
      </c>
      <c r="V483">
        <v>9.0179520491245738E-2</v>
      </c>
      <c r="W483">
        <v>4.7464232096171406E-2</v>
      </c>
      <c r="X483">
        <v>7.6940067129258483E-3</v>
      </c>
      <c r="Y483">
        <v>1.9274748217072638E-3</v>
      </c>
    </row>
    <row r="484" spans="1:25" x14ac:dyDescent="0.25">
      <c r="A484" s="1096"/>
      <c r="B484" s="1455">
        <v>234</v>
      </c>
      <c r="C484" s="1100">
        <v>0.96890250550407386</v>
      </c>
      <c r="D484" s="1100">
        <v>1.014516095167016</v>
      </c>
      <c r="E484" s="1100">
        <v>1.0231707777719619</v>
      </c>
      <c r="F484" s="1100">
        <v>0.96681869317091762</v>
      </c>
      <c r="G484" s="1100">
        <v>0.99108401762418896</v>
      </c>
      <c r="H484" s="1100">
        <v>1.0063548506878728</v>
      </c>
      <c r="I484" s="1100">
        <v>1.0021315089175928</v>
      </c>
      <c r="K484">
        <v>1.1286433426044431</v>
      </c>
      <c r="L484">
        <v>0</v>
      </c>
      <c r="M484">
        <v>7.8806936396732434E-4</v>
      </c>
      <c r="N484">
        <v>7.7774524756650948E-2</v>
      </c>
      <c r="O484">
        <v>1.0627824810373235E-2</v>
      </c>
      <c r="P484">
        <v>1.3401773185700083E-2</v>
      </c>
      <c r="Q484">
        <v>4.7229864537194112E-4</v>
      </c>
      <c r="R484">
        <v>7.8633500544642216E-4</v>
      </c>
      <c r="S484">
        <v>7.5103176887527698E-2</v>
      </c>
      <c r="T484">
        <v>0.79869648649462288</v>
      </c>
      <c r="U484">
        <v>0</v>
      </c>
      <c r="V484">
        <v>9.2514006230874538E-2</v>
      </c>
      <c r="W484">
        <v>5.040007979993686E-2</v>
      </c>
      <c r="X484">
        <v>7.5147614823439894E-3</v>
      </c>
      <c r="Y484">
        <v>2.1401446695602819E-3</v>
      </c>
    </row>
    <row r="485" spans="1:25" x14ac:dyDescent="0.25">
      <c r="A485" s="1096"/>
      <c r="B485" s="1455">
        <v>235</v>
      </c>
      <c r="C485" s="1100">
        <v>0.98600616944575448</v>
      </c>
      <c r="D485" s="1100">
        <v>1.0325957304337205</v>
      </c>
      <c r="E485" s="1100">
        <v>1.0013904913043727</v>
      </c>
      <c r="F485" s="1100">
        <v>0.98913879917115755</v>
      </c>
      <c r="G485" s="1100">
        <v>1.0191052309015409</v>
      </c>
      <c r="H485" s="1100">
        <v>0.99126737755596173</v>
      </c>
      <c r="I485" s="1100">
        <v>1.005185093485883</v>
      </c>
      <c r="K485">
        <v>1.1393638943390199</v>
      </c>
      <c r="L485">
        <v>0</v>
      </c>
      <c r="M485">
        <v>7.9249041715353814E-4</v>
      </c>
      <c r="N485">
        <v>7.3231892359466491E-2</v>
      </c>
      <c r="O485">
        <v>1.036278970928692E-2</v>
      </c>
      <c r="P485">
        <v>1.3436441080945053E-2</v>
      </c>
      <c r="Q485">
        <v>4.5061450088783068E-4</v>
      </c>
      <c r="R485">
        <v>7.9071978321845141E-4</v>
      </c>
      <c r="S485">
        <v>7.2714820884153389E-2</v>
      </c>
      <c r="T485">
        <v>0.81855302521316609</v>
      </c>
      <c r="U485">
        <v>0</v>
      </c>
      <c r="V485">
        <v>9.326440874846921E-2</v>
      </c>
      <c r="W485">
        <v>4.806865496578392E-2</v>
      </c>
      <c r="X485">
        <v>7.1309389215816086E-3</v>
      </c>
      <c r="Y485">
        <v>2.1520785892141414E-3</v>
      </c>
    </row>
    <row r="486" spans="1:25" x14ac:dyDescent="0.25">
      <c r="A486" s="1096"/>
      <c r="B486" s="1455">
        <v>236</v>
      </c>
      <c r="C486" s="1100">
        <v>1.0005138491273957</v>
      </c>
      <c r="D486" s="1100">
        <v>0.98354435364026815</v>
      </c>
      <c r="E486" s="1100">
        <v>0.99393572783324668</v>
      </c>
      <c r="F486" s="1100">
        <v>1.0180169681776852</v>
      </c>
      <c r="G486" s="1100">
        <v>1.0194801361906995</v>
      </c>
      <c r="H486" s="1100">
        <v>0.99426868997445428</v>
      </c>
      <c r="I486" s="1100">
        <v>0.96456743239774367</v>
      </c>
      <c r="K486">
        <v>1.161935098531711</v>
      </c>
      <c r="L486">
        <v>0</v>
      </c>
      <c r="M486">
        <v>8.1120627547798154E-4</v>
      </c>
      <c r="N486">
        <v>7.3292143138694241E-2</v>
      </c>
      <c r="O486">
        <v>1.0410831174201784E-2</v>
      </c>
      <c r="P486">
        <v>1.3659518011094215E-2</v>
      </c>
      <c r="Q486">
        <v>4.4931957018040316E-4</v>
      </c>
      <c r="R486">
        <v>8.093992964333975E-4</v>
      </c>
      <c r="S486">
        <v>7.0615584409042767E-2</v>
      </c>
      <c r="T486">
        <v>0.84295390462517683</v>
      </c>
      <c r="U486">
        <v>0</v>
      </c>
      <c r="V486">
        <v>9.291496709434327E-2</v>
      </c>
      <c r="W486">
        <v>4.8322224873788726E-2</v>
      </c>
      <c r="X486">
        <v>7.11549454774739E-3</v>
      </c>
      <c r="Y486">
        <v>2.2029180664853475E-3</v>
      </c>
    </row>
    <row r="487" spans="1:25" x14ac:dyDescent="0.25">
      <c r="A487" s="1096"/>
      <c r="B487" s="1455">
        <v>237</v>
      </c>
      <c r="C487" s="1100">
        <v>1.0279058623717261</v>
      </c>
      <c r="D487" s="1100">
        <v>1.0149462330000043</v>
      </c>
      <c r="E487" s="1100">
        <v>1.0157087133231544</v>
      </c>
      <c r="F487" s="1100">
        <v>1.0318696816915334</v>
      </c>
      <c r="G487" s="1100">
        <v>1.0360157298793762</v>
      </c>
      <c r="H487" s="1100">
        <v>1.019661056703032</v>
      </c>
      <c r="I487" s="1100">
        <v>0.9944036425849796</v>
      </c>
      <c r="K487">
        <v>1.1724225233725631</v>
      </c>
      <c r="L487">
        <v>0</v>
      </c>
      <c r="M487">
        <v>7.643011842361591E-4</v>
      </c>
      <c r="N487">
        <v>7.3751856972269617E-2</v>
      </c>
      <c r="O487">
        <v>1.0013704103325562E-2</v>
      </c>
      <c r="P487">
        <v>1.4022650016393223E-2</v>
      </c>
      <c r="Q487">
        <v>4.4171720405661942E-4</v>
      </c>
      <c r="R487">
        <v>7.6264108412936211E-4</v>
      </c>
      <c r="S487">
        <v>7.0743231981705276E-2</v>
      </c>
      <c r="T487">
        <v>0.85294053511676515</v>
      </c>
      <c r="U487">
        <v>0</v>
      </c>
      <c r="V487">
        <v>9.2964556640375326E-2</v>
      </c>
      <c r="W487">
        <v>4.8002478049652339E-2</v>
      </c>
      <c r="X487">
        <v>7.4677957616900107E-3</v>
      </c>
      <c r="Y487">
        <v>2.0756576264343071E-3</v>
      </c>
    </row>
    <row r="488" spans="1:25" x14ac:dyDescent="0.25">
      <c r="A488" s="1096"/>
      <c r="B488" s="1455">
        <v>238</v>
      </c>
      <c r="C488" s="1100">
        <v>1.0129191879133728</v>
      </c>
      <c r="D488" s="1100">
        <v>0.96862140610220981</v>
      </c>
      <c r="E488" s="1100">
        <v>0.99084938417125057</v>
      </c>
      <c r="F488" s="1100">
        <v>1.0017722692445756</v>
      </c>
      <c r="G488" s="1100">
        <v>1.0249648837149641</v>
      </c>
      <c r="H488" s="1100">
        <v>0.97576665549993413</v>
      </c>
      <c r="I488" s="1100">
        <v>0.9849643023553617</v>
      </c>
      <c r="K488">
        <v>1.1453270711468015</v>
      </c>
      <c r="L488">
        <v>0</v>
      </c>
      <c r="M488">
        <v>7.9625988473571102E-4</v>
      </c>
      <c r="N488">
        <v>7.1270650798968202E-2</v>
      </c>
      <c r="O488">
        <v>1.03454006803432E-2</v>
      </c>
      <c r="P488">
        <v>1.3453394221960355E-2</v>
      </c>
      <c r="Q488">
        <v>4.4510680244995871E-4</v>
      </c>
      <c r="R488">
        <v>7.9445256728690383E-4</v>
      </c>
      <c r="S488">
        <v>7.1043215171146576E-2</v>
      </c>
      <c r="T488">
        <v>0.82970817613753556</v>
      </c>
      <c r="U488">
        <v>0</v>
      </c>
      <c r="V488">
        <v>9.2845769711741785E-2</v>
      </c>
      <c r="W488">
        <v>4.7076230229018808E-2</v>
      </c>
      <c r="X488">
        <v>6.9786967141499592E-3</v>
      </c>
      <c r="Y488">
        <v>2.1622379969365316E-3</v>
      </c>
    </row>
    <row r="489" spans="1:25" x14ac:dyDescent="0.25">
      <c r="A489" s="1096"/>
      <c r="B489" s="1455">
        <v>239</v>
      </c>
      <c r="C489" s="1100">
        <v>0.9816996713946865</v>
      </c>
      <c r="D489" s="1100">
        <v>0.98164489030507407</v>
      </c>
      <c r="E489" s="1100">
        <v>1.0160550774203558</v>
      </c>
      <c r="F489" s="1100">
        <v>0.97708662882132491</v>
      </c>
      <c r="G489" s="1100">
        <v>1.0269763075816507</v>
      </c>
      <c r="H489" s="1100">
        <v>1.0034322209777558</v>
      </c>
      <c r="I489" s="1100">
        <v>0.99455874568789426</v>
      </c>
      <c r="K489">
        <v>1.1373562959265073</v>
      </c>
      <c r="L489">
        <v>0</v>
      </c>
      <c r="M489">
        <v>7.975429912922199E-4</v>
      </c>
      <c r="N489">
        <v>7.7037321420964505E-2</v>
      </c>
      <c r="O489">
        <v>1.0625996492999105E-2</v>
      </c>
      <c r="P489">
        <v>1.3466083377636282E-2</v>
      </c>
      <c r="Q489">
        <v>4.6888799248683666E-4</v>
      </c>
      <c r="R489">
        <v>7.9578267123128863E-4</v>
      </c>
      <c r="S489">
        <v>7.4687564869859294E-2</v>
      </c>
      <c r="T489">
        <v>0.80763478853629822</v>
      </c>
      <c r="U489">
        <v>0</v>
      </c>
      <c r="V489">
        <v>9.3713325722633051E-2</v>
      </c>
      <c r="W489">
        <v>5.0130678237570635E-2</v>
      </c>
      <c r="X489">
        <v>7.4275514947138421E-3</v>
      </c>
      <c r="Y489">
        <v>2.1658581014044999E-3</v>
      </c>
    </row>
    <row r="490" spans="1:25" x14ac:dyDescent="0.25">
      <c r="A490" s="1096"/>
      <c r="B490" s="1455">
        <v>240</v>
      </c>
      <c r="C490" s="1100">
        <v>0.99729485353867131</v>
      </c>
      <c r="D490" s="1100">
        <v>0.96033703223451317</v>
      </c>
      <c r="E490" s="1100">
        <v>1.00007974171175</v>
      </c>
      <c r="F490" s="1100">
        <v>1.021219311308424</v>
      </c>
      <c r="G490" s="1100">
        <v>0.96049935010482834</v>
      </c>
      <c r="H490" s="1100">
        <v>1.0155207622823308</v>
      </c>
      <c r="I490" s="1100">
        <v>0.99287852476402683</v>
      </c>
      <c r="K490">
        <v>1.1710529090733521</v>
      </c>
      <c r="L490">
        <v>0</v>
      </c>
      <c r="M490">
        <v>8.2857468942273212E-4</v>
      </c>
      <c r="N490">
        <v>7.6267829571861859E-2</v>
      </c>
      <c r="O490">
        <v>1.0546719472777032E-2</v>
      </c>
      <c r="P490">
        <v>1.3775514714109526E-2</v>
      </c>
      <c r="Q490">
        <v>4.5800888796536707E-4</v>
      </c>
      <c r="R490">
        <v>8.2676764664502513E-4</v>
      </c>
      <c r="S490">
        <v>7.4706345240365776E-2</v>
      </c>
      <c r="T490">
        <v>0.84518955535945894</v>
      </c>
      <c r="U490">
        <v>0</v>
      </c>
      <c r="V490">
        <v>9.0474125473260225E-2</v>
      </c>
      <c r="W490">
        <v>5.0100404963810997E-2</v>
      </c>
      <c r="X490">
        <v>7.2860234422341529E-3</v>
      </c>
      <c r="Y490">
        <v>2.2501889902862898E-3</v>
      </c>
    </row>
    <row r="491" spans="1:25" x14ac:dyDescent="0.25">
      <c r="A491" s="1096"/>
      <c r="B491" s="1455">
        <v>241</v>
      </c>
      <c r="C491" s="1100">
        <v>0.97291401330379512</v>
      </c>
      <c r="D491" s="1100">
        <v>0.95723553690860907</v>
      </c>
      <c r="E491" s="1100">
        <v>1.000732528772913</v>
      </c>
      <c r="F491" s="1100">
        <v>0.98458328231157999</v>
      </c>
      <c r="G491" s="1100">
        <v>1.0000544094044057</v>
      </c>
      <c r="H491" s="1100">
        <v>1.0301502184253266</v>
      </c>
      <c r="I491" s="1100">
        <v>0.9907604047813926</v>
      </c>
      <c r="K491">
        <v>1.1507283227854461</v>
      </c>
      <c r="L491">
        <v>0</v>
      </c>
      <c r="M491">
        <v>8.6152200044110514E-4</v>
      </c>
      <c r="N491">
        <v>7.9459544583927705E-2</v>
      </c>
      <c r="O491">
        <v>1.0825237299556844E-2</v>
      </c>
      <c r="P491">
        <v>1.3433207943381762E-2</v>
      </c>
      <c r="Q491">
        <v>4.7041248827874808E-4</v>
      </c>
      <c r="R491">
        <v>8.5966978546526377E-4</v>
      </c>
      <c r="S491">
        <v>7.7159722802861069E-2</v>
      </c>
      <c r="T491">
        <v>0.81482601412694233</v>
      </c>
      <c r="U491">
        <v>0</v>
      </c>
      <c r="V491">
        <v>9.2788070455913738E-2</v>
      </c>
      <c r="W491">
        <v>5.2176804351273642E-2</v>
      </c>
      <c r="X491">
        <v>7.2514231823163217E-3</v>
      </c>
      <c r="Y491">
        <v>2.3397377659678323E-3</v>
      </c>
    </row>
    <row r="492" spans="1:25" x14ac:dyDescent="0.25">
      <c r="A492" s="1096"/>
      <c r="B492" s="1455">
        <v>242</v>
      </c>
      <c r="C492" s="1100">
        <v>0.98015204096371555</v>
      </c>
      <c r="D492" s="1100">
        <v>0.99834112740391523</v>
      </c>
      <c r="E492" s="1100">
        <v>1.0070533958658623</v>
      </c>
      <c r="F492" s="1100">
        <v>1.0012413194497911</v>
      </c>
      <c r="G492" s="1100">
        <v>1.0266193364156722</v>
      </c>
      <c r="H492" s="1100">
        <v>0.99275472917437135</v>
      </c>
      <c r="I492" s="1100">
        <v>1.0406344997931505</v>
      </c>
      <c r="K492">
        <v>1.1576660542183279</v>
      </c>
      <c r="L492">
        <v>0</v>
      </c>
      <c r="M492">
        <v>7.9981046682527362E-4</v>
      </c>
      <c r="N492">
        <v>7.5183537379134108E-2</v>
      </c>
      <c r="O492">
        <v>1.0568205103501918E-2</v>
      </c>
      <c r="P492">
        <v>1.3692231767201616E-2</v>
      </c>
      <c r="Q492">
        <v>4.6216393494662476E-4</v>
      </c>
      <c r="R492">
        <v>7.9802615523472272E-4</v>
      </c>
      <c r="S492">
        <v>7.7123441662322295E-2</v>
      </c>
      <c r="T492">
        <v>0.82819375720526789</v>
      </c>
      <c r="U492">
        <v>0</v>
      </c>
      <c r="V492">
        <v>9.3736592214450284E-2</v>
      </c>
      <c r="W492">
        <v>4.9184426910548938E-2</v>
      </c>
      <c r="X492">
        <v>7.3515182272467739E-3</v>
      </c>
      <c r="Y492">
        <v>2.1719641252975434E-3</v>
      </c>
    </row>
    <row r="493" spans="1:25" x14ac:dyDescent="0.25">
      <c r="A493" s="1096"/>
      <c r="B493" s="1455">
        <v>243</v>
      </c>
      <c r="C493" s="1100">
        <v>0.99772271890378272</v>
      </c>
      <c r="D493" s="1100">
        <v>0.98445935351222025</v>
      </c>
      <c r="E493" s="1100">
        <v>1.0134454431724842</v>
      </c>
      <c r="F493" s="1100">
        <v>1.0328272701711243</v>
      </c>
      <c r="G493" s="1100">
        <v>1.0035260168003992</v>
      </c>
      <c r="H493" s="1100">
        <v>0.98116280118571864</v>
      </c>
      <c r="I493" s="1100">
        <v>0.97858716850267191</v>
      </c>
      <c r="K493">
        <v>1.1739914279267494</v>
      </c>
      <c r="L493">
        <v>0</v>
      </c>
      <c r="M493">
        <v>7.7061030592491368E-4</v>
      </c>
      <c r="N493">
        <v>7.3848162004842385E-2</v>
      </c>
      <c r="O493">
        <v>1.0442517057910461E-2</v>
      </c>
      <c r="P493">
        <v>1.4010935696419504E-2</v>
      </c>
      <c r="Q493">
        <v>4.5959432827142487E-4</v>
      </c>
      <c r="R493">
        <v>7.688708264193319E-4</v>
      </c>
      <c r="S493">
        <v>7.1304281609251952E-2</v>
      </c>
      <c r="T493">
        <v>0.85388572900130411</v>
      </c>
      <c r="U493">
        <v>0</v>
      </c>
      <c r="V493">
        <v>9.2305045914107653E-2</v>
      </c>
      <c r="W493">
        <v>4.8129118899390255E-2</v>
      </c>
      <c r="X493">
        <v>7.5151699634412074E-3</v>
      </c>
      <c r="Y493">
        <v>2.0926129313136106E-3</v>
      </c>
    </row>
    <row r="494" spans="1:25" x14ac:dyDescent="0.25">
      <c r="A494" s="1096"/>
      <c r="B494" s="1455">
        <v>244</v>
      </c>
      <c r="C494" s="1100">
        <v>1.0080114447956501</v>
      </c>
      <c r="D494" s="1100">
        <v>0.98801170318660536</v>
      </c>
      <c r="E494" s="1100">
        <v>0.97452105310728709</v>
      </c>
      <c r="F494" s="1100">
        <v>0.9802523588837162</v>
      </c>
      <c r="G494" s="1100">
        <v>1.0054684987885583</v>
      </c>
      <c r="H494" s="1100">
        <v>1.0124058063917178</v>
      </c>
      <c r="I494" s="1100">
        <v>0.99076418500387997</v>
      </c>
      <c r="K494">
        <v>1.1313699936177588</v>
      </c>
      <c r="L494">
        <v>0</v>
      </c>
      <c r="M494">
        <v>8.5192066759786104E-4</v>
      </c>
      <c r="N494">
        <v>7.2583708697669974E-2</v>
      </c>
      <c r="O494">
        <v>1.0308362325107219E-2</v>
      </c>
      <c r="P494">
        <v>1.3074090350150867E-2</v>
      </c>
      <c r="Q494">
        <v>4.3622417005075427E-4</v>
      </c>
      <c r="R494">
        <v>8.5005699291757983E-4</v>
      </c>
      <c r="S494">
        <v>7.253243527944446E-2</v>
      </c>
      <c r="T494">
        <v>0.81295315473765906</v>
      </c>
      <c r="U494">
        <v>0</v>
      </c>
      <c r="V494">
        <v>9.21291226916751E-2</v>
      </c>
      <c r="W494">
        <v>4.8417564443561732E-2</v>
      </c>
      <c r="X494">
        <v>6.6236196836104806E-3</v>
      </c>
      <c r="Y494">
        <v>2.3135749135092484E-3</v>
      </c>
    </row>
    <row r="495" spans="1:25" x14ac:dyDescent="0.25">
      <c r="A495" s="1096"/>
      <c r="B495" s="1455">
        <v>245</v>
      </c>
      <c r="C495" s="1100">
        <v>1.0391921732358449</v>
      </c>
      <c r="D495" s="1100">
        <v>1.0000506684491925</v>
      </c>
      <c r="E495" s="1100">
        <v>1.0467617716941808</v>
      </c>
      <c r="F495" s="1100">
        <v>1.045817182563664</v>
      </c>
      <c r="G495" s="1100">
        <v>1.0111440868940438</v>
      </c>
      <c r="H495" s="1100">
        <v>1.018009512348379</v>
      </c>
      <c r="I495" s="1100">
        <v>0.99289910656763847</v>
      </c>
      <c r="K495">
        <v>1.1828483753453882</v>
      </c>
      <c r="L495">
        <v>0</v>
      </c>
      <c r="M495">
        <v>7.1167100614092499E-4</v>
      </c>
      <c r="N495">
        <v>7.5411495231135814E-2</v>
      </c>
      <c r="O495">
        <v>9.9735259849497524E-3</v>
      </c>
      <c r="P495">
        <v>1.4451443241215882E-2</v>
      </c>
      <c r="Q495">
        <v>4.5365238301139021E-4</v>
      </c>
      <c r="R495">
        <v>7.1012271362476181E-4</v>
      </c>
      <c r="S495">
        <v>7.0371017393921168E-2</v>
      </c>
      <c r="T495">
        <v>0.86235232299392817</v>
      </c>
      <c r="U495">
        <v>0</v>
      </c>
      <c r="V495">
        <v>9.1644261936562096E-2</v>
      </c>
      <c r="W495">
        <v>4.820667679715207E-2</v>
      </c>
      <c r="X495">
        <v>8.0528077414301642E-3</v>
      </c>
      <c r="Y495">
        <v>1.9327199345969682E-3</v>
      </c>
    </row>
    <row r="496" spans="1:25" x14ac:dyDescent="0.25">
      <c r="A496" s="1096"/>
      <c r="B496" s="1455">
        <v>246</v>
      </c>
      <c r="C496" s="1100">
        <v>0.97821251542700349</v>
      </c>
      <c r="D496" s="1100">
        <v>1.0267002999063557</v>
      </c>
      <c r="E496" s="1100">
        <v>0.97389694098948087</v>
      </c>
      <c r="F496" s="1100">
        <v>1.0002267087165844</v>
      </c>
      <c r="G496" s="1100">
        <v>1.0021314946144662</v>
      </c>
      <c r="H496" s="1100">
        <v>0.9905167693539505</v>
      </c>
      <c r="I496" s="1100">
        <v>1.0332961128205385</v>
      </c>
      <c r="K496">
        <v>1.1511387558955577</v>
      </c>
      <c r="L496">
        <v>0</v>
      </c>
      <c r="M496">
        <v>8.4688787975819354E-4</v>
      </c>
      <c r="N496">
        <v>7.2015242316315106E-2</v>
      </c>
      <c r="O496">
        <v>1.0460218101565139E-2</v>
      </c>
      <c r="P496">
        <v>1.333762021200623E-2</v>
      </c>
      <c r="Q496">
        <v>4.4236871665803159E-4</v>
      </c>
      <c r="R496">
        <v>8.4499427357560288E-4</v>
      </c>
      <c r="S496">
        <v>7.550023947797406E-2</v>
      </c>
      <c r="T496">
        <v>0.82956034128922007</v>
      </c>
      <c r="U496">
        <v>0</v>
      </c>
      <c r="V496">
        <v>9.2734959126479291E-2</v>
      </c>
      <c r="W496">
        <v>4.8056554436763488E-2</v>
      </c>
      <c r="X496">
        <v>6.7333099643725703E-3</v>
      </c>
      <c r="Y496">
        <v>2.2997958603853692E-3</v>
      </c>
    </row>
    <row r="497" spans="1:25" x14ac:dyDescent="0.25">
      <c r="A497" s="1096"/>
      <c r="B497" s="1455">
        <v>247</v>
      </c>
      <c r="C497" s="1100">
        <v>1.0230181441710866</v>
      </c>
      <c r="D497" s="1100">
        <v>1.0076407463471229</v>
      </c>
      <c r="E497" s="1100">
        <v>1.0206645489690445</v>
      </c>
      <c r="F497" s="1100">
        <v>1.0055138149335474</v>
      </c>
      <c r="G497" s="1100">
        <v>1.0144132384033395</v>
      </c>
      <c r="H497" s="1100">
        <v>0.95245005825335982</v>
      </c>
      <c r="I497" s="1100">
        <v>0.98407082345151053</v>
      </c>
      <c r="K497">
        <v>1.1395504945003434</v>
      </c>
      <c r="L497">
        <v>0</v>
      </c>
      <c r="M497">
        <v>7.1203095951263146E-4</v>
      </c>
      <c r="N497">
        <v>6.9732374233252847E-2</v>
      </c>
      <c r="O497">
        <v>1.0092247771826482E-2</v>
      </c>
      <c r="P497">
        <v>1.3718353192486453E-2</v>
      </c>
      <c r="Q497">
        <v>4.4738280800097236E-4</v>
      </c>
      <c r="R497">
        <v>7.1037525724875991E-4</v>
      </c>
      <c r="S497">
        <v>6.7985674126752757E-2</v>
      </c>
      <c r="T497">
        <v>0.83082787855139162</v>
      </c>
      <c r="U497">
        <v>0</v>
      </c>
      <c r="V497">
        <v>9.2157139999521756E-2</v>
      </c>
      <c r="W497">
        <v>4.5254747605285833E-2</v>
      </c>
      <c r="X497">
        <v>7.4029446389976246E-3</v>
      </c>
      <c r="Y497">
        <v>1.9334072750905088E-3</v>
      </c>
    </row>
    <row r="498" spans="1:25" x14ac:dyDescent="0.25">
      <c r="A498" s="1096"/>
      <c r="B498" s="1455">
        <v>248</v>
      </c>
      <c r="C498" s="1100">
        <v>1.0106446866037806</v>
      </c>
      <c r="D498" s="1100">
        <v>0.98890012180739884</v>
      </c>
      <c r="E498" s="1100">
        <v>1.0036417008533118</v>
      </c>
      <c r="F498" s="1100">
        <v>1.0015135947742986</v>
      </c>
      <c r="G498" s="1100">
        <v>0.99117804684712152</v>
      </c>
      <c r="H498" s="1100">
        <v>1.0231626145684436</v>
      </c>
      <c r="I498" s="1100">
        <v>0.99338071711473053</v>
      </c>
      <c r="K498">
        <v>1.1512744122701712</v>
      </c>
      <c r="L498">
        <v>0</v>
      </c>
      <c r="M498">
        <v>8.0818604440750688E-4</v>
      </c>
      <c r="N498">
        <v>7.519711156898895E-2</v>
      </c>
      <c r="O498">
        <v>1.0287264535601659E-2</v>
      </c>
      <c r="P498">
        <v>1.3575671013314609E-2</v>
      </c>
      <c r="Q498">
        <v>4.4834235680491782E-4</v>
      </c>
      <c r="R498">
        <v>8.0643663176101395E-4</v>
      </c>
      <c r="S498">
        <v>7.2967177234888436E-2</v>
      </c>
      <c r="T498">
        <v>0.82864459476316732</v>
      </c>
      <c r="U498">
        <v>0</v>
      </c>
      <c r="V498">
        <v>9.1458029110327119E-2</v>
      </c>
      <c r="W498">
        <v>4.9292737883537156E-2</v>
      </c>
      <c r="X498">
        <v>7.2103785462977032E-3</v>
      </c>
      <c r="Y498">
        <v>2.1948546698892669E-3</v>
      </c>
    </row>
    <row r="499" spans="1:25" x14ac:dyDescent="0.25">
      <c r="A499" s="1096"/>
      <c r="B499" s="1455">
        <v>249</v>
      </c>
      <c r="C499" s="1100">
        <v>0.99715351197243018</v>
      </c>
      <c r="D499" s="1100">
        <v>0.99819553793274707</v>
      </c>
      <c r="E499" s="1100">
        <v>0.9692502176005372</v>
      </c>
      <c r="F499" s="1100">
        <v>0.99292744995472548</v>
      </c>
      <c r="G499" s="1100">
        <v>0.96970643701567438</v>
      </c>
      <c r="H499" s="1100">
        <v>1.0268575765290988</v>
      </c>
      <c r="I499" s="1100">
        <v>1.0170686691364799</v>
      </c>
      <c r="K499">
        <v>1.14623663557193</v>
      </c>
      <c r="L499">
        <v>0</v>
      </c>
      <c r="M499">
        <v>8.7943542471017309E-4</v>
      </c>
      <c r="N499">
        <v>7.3744085951110289E-2</v>
      </c>
      <c r="O499">
        <v>1.037622961339864E-2</v>
      </c>
      <c r="P499">
        <v>1.3188373723891389E-2</v>
      </c>
      <c r="Q499">
        <v>4.367394786291687E-4</v>
      </c>
      <c r="R499">
        <v>8.7753863440341215E-4</v>
      </c>
      <c r="S499">
        <v>7.5467685781756624E-2</v>
      </c>
      <c r="T499">
        <v>0.82381624083543592</v>
      </c>
      <c r="U499">
        <v>0</v>
      </c>
      <c r="V499">
        <v>9.0866405487074128E-2</v>
      </c>
      <c r="W499">
        <v>4.9349427328886489E-2</v>
      </c>
      <c r="X499">
        <v>6.6049732797400914E-3</v>
      </c>
      <c r="Y499">
        <v>2.3883708823130025E-3</v>
      </c>
    </row>
    <row r="500" spans="1:25" x14ac:dyDescent="0.25">
      <c r="A500" s="1096"/>
      <c r="B500" s="1455">
        <v>250</v>
      </c>
      <c r="C500" s="1100">
        <v>1.0025580429606844</v>
      </c>
      <c r="D500" s="1100">
        <v>0.9926925839152434</v>
      </c>
      <c r="E500" s="1100">
        <v>0.96696415887303433</v>
      </c>
      <c r="F500" s="1100">
        <v>1.0170118319579184</v>
      </c>
      <c r="G500" s="1100">
        <v>1.0322712184175316</v>
      </c>
      <c r="H500" s="1100">
        <v>0.99577192943636572</v>
      </c>
      <c r="I500" s="1100">
        <v>1.004961616834531</v>
      </c>
      <c r="K500">
        <v>1.1624291264005824</v>
      </c>
      <c r="L500">
        <v>0</v>
      </c>
      <c r="M500">
        <v>8.5411328235475501E-4</v>
      </c>
      <c r="N500">
        <v>7.1121815988726786E-2</v>
      </c>
      <c r="O500">
        <v>1.0342395547701052E-2</v>
      </c>
      <c r="P500">
        <v>1.3435292633546175E-2</v>
      </c>
      <c r="Q500">
        <v>4.3429837840397461E-4</v>
      </c>
      <c r="R500">
        <v>8.5221359918950855E-4</v>
      </c>
      <c r="S500">
        <v>7.3103992314964492E-2</v>
      </c>
      <c r="T500">
        <v>0.84395499383686501</v>
      </c>
      <c r="U500">
        <v>0</v>
      </c>
      <c r="V500">
        <v>9.3408371695341774E-2</v>
      </c>
      <c r="W500">
        <v>4.7660976015618819E-2</v>
      </c>
      <c r="X500">
        <v>6.6494451877221741E-3</v>
      </c>
      <c r="Y500">
        <v>2.319444484856372E-3</v>
      </c>
    </row>
    <row r="501" spans="1:25" x14ac:dyDescent="0.25">
      <c r="A501" s="1096"/>
      <c r="B501" s="1455">
        <v>251</v>
      </c>
      <c r="C501" s="1100">
        <v>1.0141266361929608</v>
      </c>
      <c r="D501" s="1100">
        <v>0.99182894892979157</v>
      </c>
      <c r="E501" s="1100">
        <v>0.97515530409917472</v>
      </c>
      <c r="F501" s="1100">
        <v>0.98580669635943052</v>
      </c>
      <c r="G501" s="1100">
        <v>1.0314412121810004</v>
      </c>
      <c r="H501" s="1100">
        <v>1.0379221461890269</v>
      </c>
      <c r="I501" s="1100">
        <v>0.98884034860275594</v>
      </c>
      <c r="K501">
        <v>1.1394355845023569</v>
      </c>
      <c r="L501">
        <v>0</v>
      </c>
      <c r="M501">
        <v>8.6565252193233683E-4</v>
      </c>
      <c r="N501">
        <v>7.3899371717379009E-2</v>
      </c>
      <c r="O501">
        <v>1.0230615308795174E-2</v>
      </c>
      <c r="P501">
        <v>1.315834692834698E-2</v>
      </c>
      <c r="Q501">
        <v>4.3321409570629398E-4</v>
      </c>
      <c r="R501">
        <v>8.638053624322532E-4</v>
      </c>
      <c r="S501">
        <v>7.2828784483327483E-2</v>
      </c>
      <c r="T501">
        <v>0.81751763255882726</v>
      </c>
      <c r="U501">
        <v>0</v>
      </c>
      <c r="V501">
        <v>9.3091846614655777E-2</v>
      </c>
      <c r="W501">
        <v>4.9276235716592134E-2</v>
      </c>
      <c r="X501">
        <v>6.6503907950462605E-3</v>
      </c>
      <c r="Y501">
        <v>2.350993443179396E-3</v>
      </c>
    </row>
    <row r="502" spans="1:25" x14ac:dyDescent="0.25">
      <c r="A502" s="1096"/>
      <c r="B502" s="1455">
        <v>252</v>
      </c>
      <c r="C502" s="1100">
        <v>0.99912525493349191</v>
      </c>
      <c r="D502" s="1100">
        <v>0.9895329794863158</v>
      </c>
      <c r="E502" s="1100">
        <v>0.9734103218269754</v>
      </c>
      <c r="F502" s="1100">
        <v>1.0116509549217099</v>
      </c>
      <c r="G502" s="1100">
        <v>0.97652302406021341</v>
      </c>
      <c r="H502" s="1100">
        <v>0.9858346326882258</v>
      </c>
      <c r="I502" s="1100">
        <v>1.0022450062882922</v>
      </c>
      <c r="K502">
        <v>1.1549988516805254</v>
      </c>
      <c r="L502">
        <v>0</v>
      </c>
      <c r="M502">
        <v>8.383461097060406E-4</v>
      </c>
      <c r="N502">
        <v>7.1183200439638578E-2</v>
      </c>
      <c r="O502">
        <v>1.0393282303213678E-2</v>
      </c>
      <c r="P502">
        <v>1.3402858547028034E-2</v>
      </c>
      <c r="Q502">
        <v>4.3931985229368682E-4</v>
      </c>
      <c r="R502">
        <v>8.3646269975691686E-4</v>
      </c>
      <c r="S502">
        <v>7.2877306594490557E-2</v>
      </c>
      <c r="T502">
        <v>0.83906830633211948</v>
      </c>
      <c r="U502">
        <v>0</v>
      </c>
      <c r="V502">
        <v>9.1109543014219113E-2</v>
      </c>
      <c r="W502">
        <v>4.7515353756516547E-2</v>
      </c>
      <c r="X502">
        <v>6.7349885220707503E-3</v>
      </c>
      <c r="Y502">
        <v>2.2765757288834591E-3</v>
      </c>
    </row>
    <row r="503" spans="1:25" x14ac:dyDescent="0.25">
      <c r="A503" s="1096"/>
      <c r="B503" s="1455">
        <v>253</v>
      </c>
      <c r="C503" s="1100">
        <v>1.0028015758892683</v>
      </c>
      <c r="D503" s="1100">
        <v>0.98715431825416933</v>
      </c>
      <c r="E503" s="1100">
        <v>1.0286205500264762</v>
      </c>
      <c r="F503" s="1100">
        <v>0.99675795712163218</v>
      </c>
      <c r="G503" s="1100">
        <v>1.0028902686275454</v>
      </c>
      <c r="H503" s="1100">
        <v>1.0064071037374227</v>
      </c>
      <c r="I503" s="1100">
        <v>1.0048471382377731</v>
      </c>
      <c r="K503">
        <v>1.1490590160407097</v>
      </c>
      <c r="L503">
        <v>0</v>
      </c>
      <c r="M503">
        <v>7.6115435473807561E-4</v>
      </c>
      <c r="N503">
        <v>7.6362961629629883E-2</v>
      </c>
      <c r="O503">
        <v>1.0383268827133998E-2</v>
      </c>
      <c r="P503">
        <v>1.377135239604816E-2</v>
      </c>
      <c r="Q503">
        <v>4.6392923564122368E-4</v>
      </c>
      <c r="R503">
        <v>7.5947931690466166E-4</v>
      </c>
      <c r="S503">
        <v>7.3797196439458118E-2</v>
      </c>
      <c r="T503">
        <v>0.82307447438097825</v>
      </c>
      <c r="U503">
        <v>0</v>
      </c>
      <c r="V503">
        <v>9.2154514238158972E-2</v>
      </c>
      <c r="W503">
        <v>4.9328545883737515E-2</v>
      </c>
      <c r="X503">
        <v>7.6573957094310122E-3</v>
      </c>
      <c r="Y503">
        <v>2.0670523383249577E-3</v>
      </c>
    </row>
    <row r="504" spans="1:25" x14ac:dyDescent="0.25">
      <c r="A504" s="1096"/>
      <c r="B504" s="1455">
        <v>254</v>
      </c>
      <c r="C504" s="1100">
        <v>0.99491730160907432</v>
      </c>
      <c r="D504" s="1100">
        <v>1.0321758277180642</v>
      </c>
      <c r="E504" s="1100">
        <v>0.96696061438665837</v>
      </c>
      <c r="F504" s="1100">
        <v>0.98280691489762151</v>
      </c>
      <c r="G504" s="1100">
        <v>1.0111293341867271</v>
      </c>
      <c r="H504" s="1100">
        <v>1.0187123331871466</v>
      </c>
      <c r="I504" s="1100">
        <v>0.96132594963067275</v>
      </c>
      <c r="K504">
        <v>1.1313242912062036</v>
      </c>
      <c r="L504">
        <v>0</v>
      </c>
      <c r="M504">
        <v>8.6687667187979728E-4</v>
      </c>
      <c r="N504">
        <v>7.2187469063193607E-2</v>
      </c>
      <c r="O504">
        <v>1.0260489361238181E-2</v>
      </c>
      <c r="P504">
        <v>1.3006574938288037E-2</v>
      </c>
      <c r="Q504">
        <v>4.3085740629185762E-4</v>
      </c>
      <c r="R504">
        <v>8.6499201918477646E-4</v>
      </c>
      <c r="S504">
        <v>6.9960119805188486E-2</v>
      </c>
      <c r="T504">
        <v>0.81557069060351672</v>
      </c>
      <c r="U504">
        <v>0</v>
      </c>
      <c r="V504">
        <v>9.2693768449488886E-2</v>
      </c>
      <c r="W504">
        <v>4.837520842203321E-2</v>
      </c>
      <c r="X504">
        <v>6.4867746779797347E-3</v>
      </c>
      <c r="Y504">
        <v>2.3542231316784714E-3</v>
      </c>
    </row>
    <row r="505" spans="1:25" x14ac:dyDescent="0.25">
      <c r="A505" s="1096"/>
      <c r="B505" s="1455">
        <v>255</v>
      </c>
      <c r="C505" s="1100">
        <v>1.0216901340763103</v>
      </c>
      <c r="D505" s="1100">
        <v>0.97699979641566159</v>
      </c>
      <c r="E505" s="1100">
        <v>1.0458426342152045</v>
      </c>
      <c r="F505" s="1100">
        <v>0.99026531561131848</v>
      </c>
      <c r="G505" s="1100">
        <v>1.0213411831027173</v>
      </c>
      <c r="H505" s="1100">
        <v>0.97988115914111784</v>
      </c>
      <c r="I505" s="1100">
        <v>1.0189794501034379</v>
      </c>
      <c r="K505">
        <v>1.1382669073274061</v>
      </c>
      <c r="L505">
        <v>0</v>
      </c>
      <c r="M505">
        <v>7.046319209069226E-4</v>
      </c>
      <c r="N505">
        <v>7.4452937254317897E-2</v>
      </c>
      <c r="O505">
        <v>1.0239145436876585E-2</v>
      </c>
      <c r="P505">
        <v>1.3842908115168945E-2</v>
      </c>
      <c r="Q505">
        <v>4.6531497450864721E-4</v>
      </c>
      <c r="R505">
        <v>7.0303929240332305E-4</v>
      </c>
      <c r="S505">
        <v>7.2775976077626828E-2</v>
      </c>
      <c r="T505">
        <v>0.81660466157562384</v>
      </c>
      <c r="U505">
        <v>0</v>
      </c>
      <c r="V505">
        <v>9.2488610017636155E-2</v>
      </c>
      <c r="W505">
        <v>4.7618997669109035E-2</v>
      </c>
      <c r="X505">
        <v>7.8665076379592028E-3</v>
      </c>
      <c r="Y505">
        <v>1.9134411970813899E-3</v>
      </c>
    </row>
    <row r="506" spans="1:25" x14ac:dyDescent="0.25">
      <c r="A506" s="1096"/>
      <c r="B506" s="1455">
        <v>256</v>
      </c>
      <c r="C506" s="1100">
        <v>0.99731156775437757</v>
      </c>
      <c r="D506" s="1100">
        <v>0.99416375439385707</v>
      </c>
      <c r="E506" s="1100">
        <v>0.99674577862017277</v>
      </c>
      <c r="F506" s="1100">
        <v>0.98652577347768389</v>
      </c>
      <c r="G506" s="1100">
        <v>1.0009830510662661</v>
      </c>
      <c r="H506" s="1100">
        <v>0.98675649374971597</v>
      </c>
      <c r="I506" s="1100">
        <v>0.98824364016038779</v>
      </c>
      <c r="K506">
        <v>1.1349801463729501</v>
      </c>
      <c r="L506">
        <v>0</v>
      </c>
      <c r="M506">
        <v>7.9952963051005735E-4</v>
      </c>
      <c r="N506">
        <v>7.2852024218138633E-2</v>
      </c>
      <c r="O506">
        <v>1.0400414170299041E-2</v>
      </c>
      <c r="P506">
        <v>1.3338819479756949E-2</v>
      </c>
      <c r="Q506">
        <v>4.5014294202474922E-4</v>
      </c>
      <c r="R506">
        <v>7.9773510288588172E-4</v>
      </c>
      <c r="S506">
        <v>7.1881405289394087E-2</v>
      </c>
      <c r="T506">
        <v>0.81669413600672536</v>
      </c>
      <c r="U506">
        <v>0</v>
      </c>
      <c r="V506">
        <v>9.2204021450571813E-2</v>
      </c>
      <c r="W506">
        <v>4.7951601575174106E-2</v>
      </c>
      <c r="X506">
        <v>7.0382037917397352E-3</v>
      </c>
      <c r="Y506">
        <v>2.1711719767493792E-3</v>
      </c>
    </row>
    <row r="507" spans="1:25" x14ac:dyDescent="0.25">
      <c r="A507" s="1096"/>
      <c r="B507" s="1455">
        <v>257</v>
      </c>
      <c r="C507" s="1100">
        <v>0.99725089882643259</v>
      </c>
      <c r="D507" s="1100">
        <v>1.0214494468764583</v>
      </c>
      <c r="E507" s="1100">
        <v>0.9987588085955672</v>
      </c>
      <c r="F507" s="1100">
        <v>1.0176714946396939</v>
      </c>
      <c r="G507" s="1100">
        <v>1.0278176043059659</v>
      </c>
      <c r="H507" s="1100">
        <v>0.97361744564040964</v>
      </c>
      <c r="I507" s="1100">
        <v>0.99598646222873155</v>
      </c>
      <c r="K507">
        <v>1.1584183860057515</v>
      </c>
      <c r="L507">
        <v>0</v>
      </c>
      <c r="M507">
        <v>7.7718235547452846E-4</v>
      </c>
      <c r="N507">
        <v>7.1245679833385506E-2</v>
      </c>
      <c r="O507">
        <v>1.028966212061214E-2</v>
      </c>
      <c r="P507">
        <v>1.3710775661923956E-2</v>
      </c>
      <c r="Q507">
        <v>4.462526364298659E-4</v>
      </c>
      <c r="R507">
        <v>7.7541444543160088E-4</v>
      </c>
      <c r="S507">
        <v>7.0920734734758351E-2</v>
      </c>
      <c r="T507">
        <v>0.84234230617803285</v>
      </c>
      <c r="U507">
        <v>0</v>
      </c>
      <c r="V507">
        <v>9.3353116929362295E-2</v>
      </c>
      <c r="W507">
        <v>4.6838124920490151E-2</v>
      </c>
      <c r="X507">
        <v>7.1630783956362562E-3</v>
      </c>
      <c r="Y507">
        <v>2.1104225051615786E-3</v>
      </c>
    </row>
    <row r="508" spans="1:25" x14ac:dyDescent="0.25">
      <c r="A508" s="1096"/>
      <c r="B508" s="1455">
        <v>258</v>
      </c>
      <c r="C508" s="1100">
        <v>1.0351387124548319</v>
      </c>
      <c r="D508" s="1100">
        <v>0.9960159758183712</v>
      </c>
      <c r="E508" s="1100">
        <v>1.0020887502948967</v>
      </c>
      <c r="F508" s="1100">
        <v>0.98523914586537609</v>
      </c>
      <c r="G508" s="1100">
        <v>0.99119989358551219</v>
      </c>
      <c r="H508" s="1100">
        <v>0.99840342556190564</v>
      </c>
      <c r="I508" s="1100">
        <v>0.98877172975009386</v>
      </c>
      <c r="K508">
        <v>1.1268573929927739</v>
      </c>
      <c r="L508">
        <v>0</v>
      </c>
      <c r="M508">
        <v>7.702412167186393E-4</v>
      </c>
      <c r="N508">
        <v>7.132733690885168E-2</v>
      </c>
      <c r="O508">
        <v>1.0014585240236906E-2</v>
      </c>
      <c r="P508">
        <v>1.3324737816395456E-2</v>
      </c>
      <c r="Q508">
        <v>4.3577867388520973E-4</v>
      </c>
      <c r="R508">
        <v>7.6853259363234591E-4</v>
      </c>
      <c r="S508">
        <v>6.9684659936346385E-2</v>
      </c>
      <c r="T508">
        <v>0.81528039483279457</v>
      </c>
      <c r="U508">
        <v>0</v>
      </c>
      <c r="V508">
        <v>9.0878455876131373E-2</v>
      </c>
      <c r="W508">
        <v>4.6799125183767491E-2</v>
      </c>
      <c r="X508">
        <v>7.0223347742854056E-3</v>
      </c>
      <c r="Y508">
        <v>2.0916923731658433E-3</v>
      </c>
    </row>
    <row r="509" spans="1:25" x14ac:dyDescent="0.25">
      <c r="A509" s="1096"/>
      <c r="B509" s="1455">
        <v>259</v>
      </c>
      <c r="C509" s="1100">
        <v>1.0136919343169195</v>
      </c>
      <c r="D509" s="1100">
        <v>1.0087051116001882</v>
      </c>
      <c r="E509" s="1100">
        <v>0.98479568475427026</v>
      </c>
      <c r="F509" s="1100">
        <v>0.99974527705491067</v>
      </c>
      <c r="G509" s="1100">
        <v>1.0241038994014859</v>
      </c>
      <c r="H509" s="1100">
        <v>0.96787245616957029</v>
      </c>
      <c r="I509" s="1100">
        <v>0.96870630219925935</v>
      </c>
      <c r="K509">
        <v>1.1370811091474693</v>
      </c>
      <c r="L509">
        <v>0</v>
      </c>
      <c r="M509">
        <v>7.8631196471169631E-4</v>
      </c>
      <c r="N509">
        <v>6.9102309224791686E-2</v>
      </c>
      <c r="O509">
        <v>1.016925276743956E-2</v>
      </c>
      <c r="P509">
        <v>1.3333858081275733E-2</v>
      </c>
      <c r="Q509">
        <v>4.3485588370459794E-4</v>
      </c>
      <c r="R509">
        <v>7.8451266988574628E-4</v>
      </c>
      <c r="S509">
        <v>6.8061443884558689E-2</v>
      </c>
      <c r="T509">
        <v>0.82843240714069666</v>
      </c>
      <c r="U509">
        <v>0</v>
      </c>
      <c r="V509">
        <v>9.2789589053808311E-2</v>
      </c>
      <c r="W509">
        <v>4.5810097468691559E-2</v>
      </c>
      <c r="X509">
        <v>6.8139100644312471E-3</v>
      </c>
      <c r="Y509">
        <v>2.1351848728968776E-3</v>
      </c>
    </row>
    <row r="510" spans="1:25" x14ac:dyDescent="0.25">
      <c r="A510" s="1096"/>
      <c r="B510" s="1455">
        <v>260</v>
      </c>
      <c r="C510" s="1100">
        <v>0.9705508798597654</v>
      </c>
      <c r="D510" s="1100">
        <v>0.97577228667401128</v>
      </c>
      <c r="E510" s="1100">
        <v>1.0093625891962663</v>
      </c>
      <c r="F510" s="1100">
        <v>1.0101203159960606</v>
      </c>
      <c r="G510" s="1100">
        <v>1.01119858403522</v>
      </c>
      <c r="H510" s="1100">
        <v>1.0004716262006119</v>
      </c>
      <c r="I510" s="1100">
        <v>1.0019464411516619</v>
      </c>
      <c r="K510">
        <v>1.1676044817382853</v>
      </c>
      <c r="L510">
        <v>0</v>
      </c>
      <c r="M510">
        <v>8.1755002055918131E-4</v>
      </c>
      <c r="N510">
        <v>7.7390126443404483E-2</v>
      </c>
      <c r="O510">
        <v>1.0771602436013265E-2</v>
      </c>
      <c r="P510">
        <v>1.3796195366049918E-2</v>
      </c>
      <c r="Q510">
        <v>4.721485223721916E-4</v>
      </c>
      <c r="R510">
        <v>8.1574020159227057E-4</v>
      </c>
      <c r="S510">
        <v>7.6207776530728563E-2</v>
      </c>
      <c r="T510">
        <v>0.83538436344283329</v>
      </c>
      <c r="U510">
        <v>0</v>
      </c>
      <c r="V510">
        <v>9.3327903804871506E-2</v>
      </c>
      <c r="W510">
        <v>5.0558969327639439E-2</v>
      </c>
      <c r="X510">
        <v>7.4770297632913195E-3</v>
      </c>
      <c r="Y510">
        <v>2.2201759200489763E-3</v>
      </c>
    </row>
    <row r="511" spans="1:25" x14ac:dyDescent="0.25">
      <c r="A511" s="1096"/>
      <c r="B511" s="1455">
        <v>261</v>
      </c>
      <c r="C511" s="1100">
        <v>1.0410944576764707</v>
      </c>
      <c r="D511" s="1100">
        <v>0.99056860293411908</v>
      </c>
      <c r="E511" s="1100">
        <v>1.0191646503833562</v>
      </c>
      <c r="F511" s="1100">
        <v>0.99369061018330862</v>
      </c>
      <c r="G511" s="1100">
        <v>1.0007927485812396</v>
      </c>
      <c r="H511" s="1100">
        <v>0.97755241583894303</v>
      </c>
      <c r="I511" s="1100">
        <v>0.97458799530127627</v>
      </c>
      <c r="K511">
        <v>1.1299255696782542</v>
      </c>
      <c r="L511">
        <v>0</v>
      </c>
      <c r="M511">
        <v>7.2529336818550662E-4</v>
      </c>
      <c r="N511">
        <v>7.0714770301487137E-2</v>
      </c>
      <c r="O511">
        <v>9.98455976050386E-3</v>
      </c>
      <c r="P511">
        <v>1.3551799729718364E-2</v>
      </c>
      <c r="Q511">
        <v>4.4194954791998664E-4</v>
      </c>
      <c r="R511">
        <v>7.236501348714358E-4</v>
      </c>
      <c r="S511">
        <v>6.7706280622598591E-2</v>
      </c>
      <c r="T511">
        <v>0.82115640796290168</v>
      </c>
      <c r="U511">
        <v>0</v>
      </c>
      <c r="V511">
        <v>9.1154017760438938E-2</v>
      </c>
      <c r="W511">
        <v>4.5932592438161904E-2</v>
      </c>
      <c r="X511">
        <v>7.3152976719197587E-3</v>
      </c>
      <c r="Y511">
        <v>1.9695371159171998E-3</v>
      </c>
    </row>
    <row r="512" spans="1:25" x14ac:dyDescent="0.25">
      <c r="A512" s="1096"/>
      <c r="B512" s="1455">
        <v>262</v>
      </c>
      <c r="C512" s="1100">
        <v>1.0206095090167653</v>
      </c>
      <c r="D512" s="1100">
        <v>0.99811701228553007</v>
      </c>
      <c r="E512" s="1100">
        <v>0.99739991067540235</v>
      </c>
      <c r="F512" s="1100">
        <v>1.0023988642783983</v>
      </c>
      <c r="G512" s="1100">
        <v>1.0196865363384351</v>
      </c>
      <c r="H512" s="1100">
        <v>1.0049930235449953</v>
      </c>
      <c r="I512" s="1100">
        <v>1.0103807518901624</v>
      </c>
      <c r="K512">
        <v>1.1480663277818106</v>
      </c>
      <c r="L512">
        <v>0</v>
      </c>
      <c r="M512">
        <v>7.9337851812955583E-4</v>
      </c>
      <c r="N512">
        <v>7.2437540140543558E-2</v>
      </c>
      <c r="O512">
        <v>1.0147088506363347E-2</v>
      </c>
      <c r="P512">
        <v>1.3533804114451686E-2</v>
      </c>
      <c r="Q512">
        <v>4.3946802264300551E-4</v>
      </c>
      <c r="R512">
        <v>7.9163010939253538E-4</v>
      </c>
      <c r="S512">
        <v>7.240330300443458E-2</v>
      </c>
      <c r="T512">
        <v>0.8297911818089404</v>
      </c>
      <c r="U512">
        <v>0</v>
      </c>
      <c r="V512">
        <v>9.2436551947147241E-2</v>
      </c>
      <c r="W512">
        <v>4.7660210032846213E-2</v>
      </c>
      <c r="X512">
        <v>7.0643724162073049E-3</v>
      </c>
      <c r="Y512">
        <v>2.1545561969710551E-3</v>
      </c>
    </row>
    <row r="513" spans="1:25" x14ac:dyDescent="0.25">
      <c r="A513" s="1096"/>
      <c r="B513" s="1455">
        <v>263</v>
      </c>
      <c r="C513" s="1100">
        <v>1.0030313479545372</v>
      </c>
      <c r="D513" s="1100">
        <v>0.98722948668431887</v>
      </c>
      <c r="E513" s="1100">
        <v>1.0131940636743206</v>
      </c>
      <c r="F513" s="1100">
        <v>1.0032900329211432</v>
      </c>
      <c r="G513" s="1100">
        <v>0.98482521669045897</v>
      </c>
      <c r="H513" s="1100">
        <v>0.98359939393924578</v>
      </c>
      <c r="I513" s="1100">
        <v>1.0407437617284299</v>
      </c>
      <c r="K513">
        <v>1.151784375372596</v>
      </c>
      <c r="L513">
        <v>0</v>
      </c>
      <c r="M513">
        <v>7.6797332681040732E-4</v>
      </c>
      <c r="N513">
        <v>7.3540052616642995E-2</v>
      </c>
      <c r="O513">
        <v>1.0375498185628523E-2</v>
      </c>
      <c r="P513">
        <v>1.3716399149443809E-2</v>
      </c>
      <c r="Q513">
        <v>4.5653017946969125E-4</v>
      </c>
      <c r="R513">
        <v>7.662440940215075E-4</v>
      </c>
      <c r="S513">
        <v>7.5425977226600854E-2</v>
      </c>
      <c r="T513">
        <v>0.82948252712142267</v>
      </c>
      <c r="U513">
        <v>0</v>
      </c>
      <c r="V513">
        <v>9.1374151554767913E-2</v>
      </c>
      <c r="W513">
        <v>4.7935401037967437E-2</v>
      </c>
      <c r="X513">
        <v>7.3941037018116053E-3</v>
      </c>
      <c r="Y513">
        <v>2.0854638316288344E-3</v>
      </c>
    </row>
    <row r="514" spans="1:25" x14ac:dyDescent="0.25">
      <c r="A514" s="1096"/>
      <c r="B514" s="1455">
        <v>264</v>
      </c>
      <c r="C514" s="1100">
        <v>0.96335664084562045</v>
      </c>
      <c r="D514" s="1100">
        <v>1.0105752844299898</v>
      </c>
      <c r="E514" s="1100">
        <v>1.0180420823603518</v>
      </c>
      <c r="F514" s="1100">
        <v>0.97375155840479644</v>
      </c>
      <c r="G514" s="1100">
        <v>1.0048789548077186</v>
      </c>
      <c r="H514" s="1100">
        <v>0.96613849661300011</v>
      </c>
      <c r="I514" s="1100">
        <v>1.035201918525293</v>
      </c>
      <c r="K514">
        <v>1.1321005352615139</v>
      </c>
      <c r="L514">
        <v>0</v>
      </c>
      <c r="M514">
        <v>7.7029414239748869E-4</v>
      </c>
      <c r="N514">
        <v>7.4846322163101678E-2</v>
      </c>
      <c r="O514">
        <v>1.0703920160500053E-2</v>
      </c>
      <c r="P514">
        <v>1.3463584615791458E-2</v>
      </c>
      <c r="Q514">
        <v>4.7326195279851586E-4</v>
      </c>
      <c r="R514">
        <v>7.6852833721975124E-4</v>
      </c>
      <c r="S514">
        <v>7.6426258392248078E-2</v>
      </c>
      <c r="T514">
        <v>0.80475107737862839</v>
      </c>
      <c r="U514">
        <v>0</v>
      </c>
      <c r="V514">
        <v>9.3249973238984388E-2</v>
      </c>
      <c r="W514">
        <v>4.8648205932456362E-2</v>
      </c>
      <c r="X514">
        <v>7.4480164435688206E-3</v>
      </c>
      <c r="Y514">
        <v>2.0916807886138867E-3</v>
      </c>
    </row>
    <row r="515" spans="1:25" x14ac:dyDescent="0.25">
      <c r="A515" s="1096"/>
      <c r="B515" s="1455">
        <v>265</v>
      </c>
      <c r="C515" s="1100">
        <v>1.0005648100669167</v>
      </c>
      <c r="D515" s="1100">
        <v>0.99059499573906684</v>
      </c>
      <c r="E515" s="1100">
        <v>0.98435355194499119</v>
      </c>
      <c r="F515" s="1100">
        <v>1.0369475060848112</v>
      </c>
      <c r="G515" s="1100">
        <v>0.98492050074016169</v>
      </c>
      <c r="H515" s="1100">
        <v>0.99232310403544366</v>
      </c>
      <c r="I515" s="1100">
        <v>0.97504148970231219</v>
      </c>
      <c r="K515">
        <v>1.175784072857696</v>
      </c>
      <c r="L515">
        <v>0</v>
      </c>
      <c r="M515">
        <v>8.2344613620200999E-4</v>
      </c>
      <c r="N515">
        <v>7.2273092061167929E-2</v>
      </c>
      <c r="O515">
        <v>1.0377458010336404E-2</v>
      </c>
      <c r="P515">
        <v>1.3766846948229579E-2</v>
      </c>
      <c r="Q515">
        <v>4.4356025491791497E-4</v>
      </c>
      <c r="R515">
        <v>8.2160829632330274E-4</v>
      </c>
      <c r="S515">
        <v>7.1028759313252671E-2</v>
      </c>
      <c r="T515">
        <v>0.8592903734573496</v>
      </c>
      <c r="U515">
        <v>0</v>
      </c>
      <c r="V515">
        <v>9.1434592725349206E-2</v>
      </c>
      <c r="W515">
        <v>4.7924855809688437E-2</v>
      </c>
      <c r="X515">
        <v>7.0102251777920625E-3</v>
      </c>
      <c r="Y515">
        <v>2.2361469394899382E-3</v>
      </c>
    </row>
    <row r="516" spans="1:25" x14ac:dyDescent="0.25">
      <c r="A516" s="1096"/>
      <c r="B516" s="1455">
        <v>266</v>
      </c>
      <c r="C516" s="1100">
        <v>0.96521672579210638</v>
      </c>
      <c r="D516" s="1100">
        <v>0.96589818936016514</v>
      </c>
      <c r="E516" s="1100">
        <v>1.0212878843251878</v>
      </c>
      <c r="F516" s="1100">
        <v>1.0346011545096536</v>
      </c>
      <c r="G516" s="1100">
        <v>0.99650632967898467</v>
      </c>
      <c r="H516" s="1100">
        <v>1.0322951962266691</v>
      </c>
      <c r="I516" s="1100">
        <v>0.96191290270301733</v>
      </c>
      <c r="K516">
        <v>1.1929907893434686</v>
      </c>
      <c r="L516">
        <v>0</v>
      </c>
      <c r="M516">
        <v>8.3081719178408544E-4</v>
      </c>
      <c r="N516">
        <v>8.1533475241554285E-2</v>
      </c>
      <c r="O516">
        <v>1.0879394679592832E-2</v>
      </c>
      <c r="P516">
        <v>1.4167421915783171E-2</v>
      </c>
      <c r="Q516">
        <v>4.8257531223090813E-4</v>
      </c>
      <c r="R516">
        <v>8.2903470160313191E-4</v>
      </c>
      <c r="S516">
        <v>7.5275837953746247E-2</v>
      </c>
      <c r="T516">
        <v>0.85481967455681385</v>
      </c>
      <c r="U516">
        <v>0</v>
      </c>
      <c r="V516">
        <v>9.2843111771416034E-2</v>
      </c>
      <c r="W516">
        <v>5.2894119234422575E-2</v>
      </c>
      <c r="X516">
        <v>7.8406020015408754E-3</v>
      </c>
      <c r="Y516">
        <v>2.2563591665477898E-3</v>
      </c>
    </row>
    <row r="517" spans="1:25" x14ac:dyDescent="0.25">
      <c r="A517" s="1096"/>
      <c r="B517" s="1455">
        <v>267</v>
      </c>
      <c r="C517" s="1100">
        <v>1.0074805403687166</v>
      </c>
      <c r="D517" s="1100">
        <v>1.0102452569016644</v>
      </c>
      <c r="E517" s="1100">
        <v>0.98353404742915229</v>
      </c>
      <c r="F517" s="1100">
        <v>0.99430300616139089</v>
      </c>
      <c r="G517" s="1100">
        <v>1.0002503669713543</v>
      </c>
      <c r="H517" s="1100">
        <v>1.0127460530755164</v>
      </c>
      <c r="I517" s="1100">
        <v>1.0102713598657271</v>
      </c>
      <c r="K517">
        <v>1.1429703331017262</v>
      </c>
      <c r="L517">
        <v>0</v>
      </c>
      <c r="M517">
        <v>8.2949798333942551E-4</v>
      </c>
      <c r="N517">
        <v>7.2627287587920655E-2</v>
      </c>
      <c r="O517">
        <v>1.022529942824928E-2</v>
      </c>
      <c r="P517">
        <v>1.3318872641772233E-2</v>
      </c>
      <c r="Q517">
        <v>4.3669349637796406E-4</v>
      </c>
      <c r="R517">
        <v>8.2768397051478763E-4</v>
      </c>
      <c r="S517">
        <v>7.3184615674392606E-2</v>
      </c>
      <c r="T517">
        <v>0.8240063984082473</v>
      </c>
      <c r="U517">
        <v>0</v>
      </c>
      <c r="V517">
        <v>9.1920060921933902E-2</v>
      </c>
      <c r="W517">
        <v>4.8183488323828745E-2</v>
      </c>
      <c r="X517">
        <v>6.816747710033092E-3</v>
      </c>
      <c r="Y517">
        <v>2.2526829217937006E-3</v>
      </c>
    </row>
    <row r="518" spans="1:25" x14ac:dyDescent="0.25">
      <c r="A518" s="1096"/>
      <c r="B518" s="1455">
        <v>268</v>
      </c>
      <c r="C518" s="1100">
        <v>0.99754380485352234</v>
      </c>
      <c r="D518" s="1100">
        <v>0.99626300765129261</v>
      </c>
      <c r="E518" s="1100">
        <v>1.0044495975870635</v>
      </c>
      <c r="F518" s="1100">
        <v>1.026760258960363</v>
      </c>
      <c r="G518" s="1100">
        <v>1.0202366669789611</v>
      </c>
      <c r="H518" s="1100">
        <v>0.98948991450930823</v>
      </c>
      <c r="I518" s="1100">
        <v>0.96803182927824494</v>
      </c>
      <c r="K518">
        <v>1.1687746760371631</v>
      </c>
      <c r="L518">
        <v>0</v>
      </c>
      <c r="M518">
        <v>7.8818413658460608E-4</v>
      </c>
      <c r="N518">
        <v>7.3509786971757959E-2</v>
      </c>
      <c r="O518">
        <v>1.0391755048796879E-2</v>
      </c>
      <c r="P518">
        <v>1.3855515242533263E-2</v>
      </c>
      <c r="Q518">
        <v>4.5326340576151719E-4</v>
      </c>
      <c r="R518">
        <v>7.8641996064111582E-4</v>
      </c>
      <c r="S518">
        <v>7.043537081197393E-2</v>
      </c>
      <c r="T518">
        <v>0.84947868004459215</v>
      </c>
      <c r="U518">
        <v>0</v>
      </c>
      <c r="V518">
        <v>9.302249271296438E-2</v>
      </c>
      <c r="W518">
        <v>4.8163614968279513E-2</v>
      </c>
      <c r="X518">
        <v>7.3255851168501597E-3</v>
      </c>
      <c r="Y518">
        <v>2.140375889594765E-3</v>
      </c>
    </row>
    <row r="519" spans="1:25" x14ac:dyDescent="0.25">
      <c r="A519" s="1096"/>
      <c r="B519" s="1455">
        <v>269</v>
      </c>
      <c r="C519" s="1100">
        <v>1.0149633482980913</v>
      </c>
      <c r="D519" s="1100">
        <v>0.97681804086589918</v>
      </c>
      <c r="E519" s="1100">
        <v>1.0186049289444397</v>
      </c>
      <c r="F519" s="1100">
        <v>0.99761602081325274</v>
      </c>
      <c r="G519" s="1100">
        <v>0.98533227762622977</v>
      </c>
      <c r="H519" s="1100">
        <v>1.0162347636551052</v>
      </c>
      <c r="I519" s="1100">
        <v>1.0240177091868086</v>
      </c>
      <c r="K519">
        <v>1.1497173645067336</v>
      </c>
      <c r="L519">
        <v>0</v>
      </c>
      <c r="M519">
        <v>7.7864862413654068E-4</v>
      </c>
      <c r="N519">
        <v>7.5795268203297461E-2</v>
      </c>
      <c r="O519">
        <v>1.029886451691696E-2</v>
      </c>
      <c r="P519">
        <v>1.3693231259791815E-2</v>
      </c>
      <c r="Q519">
        <v>4.5560796662644313E-4</v>
      </c>
      <c r="R519">
        <v>7.7695165848765796E-4</v>
      </c>
      <c r="S519">
        <v>7.5101818677368079E-2</v>
      </c>
      <c r="T519">
        <v>0.82443687689859746</v>
      </c>
      <c r="U519">
        <v>0</v>
      </c>
      <c r="V519">
        <v>9.1106189220582307E-2</v>
      </c>
      <c r="W519">
        <v>4.9248755277347157E-2</v>
      </c>
      <c r="X519">
        <v>7.4678431594943371E-3</v>
      </c>
      <c r="Y519">
        <v>2.1146062923580182E-3</v>
      </c>
    </row>
    <row r="520" spans="1:25" x14ac:dyDescent="0.25">
      <c r="A520" s="1096"/>
      <c r="B520" s="1455">
        <v>270</v>
      </c>
      <c r="C520" s="1100">
        <v>0.98257782261117477</v>
      </c>
      <c r="D520" s="1100">
        <v>1.0045741531123433</v>
      </c>
      <c r="E520" s="1100">
        <v>0.99046886658823152</v>
      </c>
      <c r="F520" s="1100">
        <v>1.0042256194682009</v>
      </c>
      <c r="G520" s="1100">
        <v>1.0028040684449255</v>
      </c>
      <c r="H520" s="1100">
        <v>0.9640093526665714</v>
      </c>
      <c r="I520" s="1100">
        <v>1.0304949846086682</v>
      </c>
      <c r="K520">
        <v>1.1515534740486519</v>
      </c>
      <c r="L520">
        <v>0</v>
      </c>
      <c r="M520">
        <v>7.9985095869008181E-4</v>
      </c>
      <c r="N520">
        <v>7.1507778923376633E-2</v>
      </c>
      <c r="O520">
        <v>1.0510388301071528E-2</v>
      </c>
      <c r="P520">
        <v>1.3524275673595501E-2</v>
      </c>
      <c r="Q520">
        <v>4.5203150255287977E-4</v>
      </c>
      <c r="R520">
        <v>7.9801334845893952E-4</v>
      </c>
      <c r="S520">
        <v>7.4695847369866675E-2</v>
      </c>
      <c r="T520">
        <v>0.83176555378856321</v>
      </c>
      <c r="U520">
        <v>0</v>
      </c>
      <c r="V520">
        <v>9.2653542717307399E-2</v>
      </c>
      <c r="W520">
        <v>4.7243622388750871E-2</v>
      </c>
      <c r="X520">
        <v>7.0303417243218098E-3</v>
      </c>
      <c r="Y520">
        <v>2.1719292694756141E-3</v>
      </c>
    </row>
    <row r="521" spans="1:25" x14ac:dyDescent="0.25">
      <c r="A521" s="1096"/>
      <c r="B521" s="1455">
        <v>271</v>
      </c>
      <c r="C521" s="1100">
        <v>1.0168124623576995</v>
      </c>
      <c r="D521" s="1100">
        <v>1.0466833376670162</v>
      </c>
      <c r="E521" s="1100">
        <v>0.99779315202170826</v>
      </c>
      <c r="F521" s="1100">
        <v>0.98206987793415501</v>
      </c>
      <c r="G521" s="1100">
        <v>1.0278025301142726</v>
      </c>
      <c r="H521" s="1100">
        <v>0.9889022573694215</v>
      </c>
      <c r="I521" s="1100">
        <v>0.99814579496767364</v>
      </c>
      <c r="K521">
        <v>1.1243804759206766</v>
      </c>
      <c r="L521">
        <v>0</v>
      </c>
      <c r="M521">
        <v>7.6821333976087407E-4</v>
      </c>
      <c r="N521">
        <v>7.0220764838245034E-2</v>
      </c>
      <c r="O521">
        <v>9.993372058994943E-3</v>
      </c>
      <c r="P521">
        <v>1.3273969849641193E-2</v>
      </c>
      <c r="Q521">
        <v>4.3298194159889221E-4</v>
      </c>
      <c r="R521">
        <v>7.6649284222918518E-4</v>
      </c>
      <c r="S521">
        <v>6.9436316160291223E-2</v>
      </c>
      <c r="T521">
        <v>0.8129371396529973</v>
      </c>
      <c r="U521">
        <v>0</v>
      </c>
      <c r="V521">
        <v>9.2874272248832476E-2</v>
      </c>
      <c r="W521">
        <v>4.6190867292489772E-2</v>
      </c>
      <c r="X521">
        <v>6.9363715328648904E-3</v>
      </c>
      <c r="Y521">
        <v>2.0861408422503096E-3</v>
      </c>
    </row>
    <row r="522" spans="1:25" x14ac:dyDescent="0.25">
      <c r="A522" s="1096"/>
      <c r="B522" s="1455">
        <v>272</v>
      </c>
      <c r="C522" s="1100">
        <v>0.99195647253873398</v>
      </c>
      <c r="D522" s="1100">
        <v>0.98582111412247952</v>
      </c>
      <c r="E522" s="1100">
        <v>0.98413305107075111</v>
      </c>
      <c r="F522" s="1100">
        <v>0.99690806591339776</v>
      </c>
      <c r="G522" s="1100">
        <v>0.98121417095345442</v>
      </c>
      <c r="H522" s="1100">
        <v>1.0131332080402924</v>
      </c>
      <c r="I522" s="1100">
        <v>0.97361240457524734</v>
      </c>
      <c r="K522">
        <v>1.1476494351305557</v>
      </c>
      <c r="L522">
        <v>0</v>
      </c>
      <c r="M522">
        <v>8.5003852340429615E-4</v>
      </c>
      <c r="N522">
        <v>7.4560763691214643E-2</v>
      </c>
      <c r="O522">
        <v>1.0487688438846532E-2</v>
      </c>
      <c r="P522">
        <v>1.3339165470284768E-2</v>
      </c>
      <c r="Q522">
        <v>4.4817158049677064E-4</v>
      </c>
      <c r="R522">
        <v>8.4818030124217425E-4</v>
      </c>
      <c r="S522">
        <v>7.2553321982794197E-2</v>
      </c>
      <c r="T522">
        <v>0.82612543669518368</v>
      </c>
      <c r="U522">
        <v>0</v>
      </c>
      <c r="V522">
        <v>9.1490957554025129E-2</v>
      </c>
      <c r="W522">
        <v>4.9448390064225592E-2</v>
      </c>
      <c r="X522">
        <v>6.8889306982275389E-3</v>
      </c>
      <c r="Y522">
        <v>2.3084671774200377E-3</v>
      </c>
    </row>
    <row r="523" spans="1:25" x14ac:dyDescent="0.25">
      <c r="A523" s="1096"/>
      <c r="B523" s="1455">
        <v>273</v>
      </c>
      <c r="C523" s="1100">
        <v>0.98816462627904045</v>
      </c>
      <c r="D523" s="1100">
        <v>1.0043606370482063</v>
      </c>
      <c r="E523" s="1100">
        <v>0.97294823810083786</v>
      </c>
      <c r="F523" s="1100">
        <v>1.0238891015411482</v>
      </c>
      <c r="G523" s="1100">
        <v>1.0032638156777276</v>
      </c>
      <c r="H523" s="1100">
        <v>0.99589528232594038</v>
      </c>
      <c r="I523" s="1100">
        <v>0.99988716602251437</v>
      </c>
      <c r="K523">
        <v>1.1691809893624747</v>
      </c>
      <c r="L523">
        <v>0</v>
      </c>
      <c r="M523">
        <v>8.5202892175503581E-4</v>
      </c>
      <c r="N523">
        <v>7.2245512594363778E-2</v>
      </c>
      <c r="O523">
        <v>1.0446078107745277E-2</v>
      </c>
      <c r="P523">
        <v>1.3559583218085392E-2</v>
      </c>
      <c r="Q523">
        <v>4.413433899686687E-4</v>
      </c>
      <c r="R523">
        <v>8.501341092607864E-4</v>
      </c>
      <c r="S523">
        <v>7.3364821222572638E-2</v>
      </c>
      <c r="T523">
        <v>0.8492504192101431</v>
      </c>
      <c r="U523">
        <v>0</v>
      </c>
      <c r="V523">
        <v>9.25282167537234E-2</v>
      </c>
      <c r="W523">
        <v>4.8237985917690351E-2</v>
      </c>
      <c r="X523">
        <v>6.7951389619021613E-3</v>
      </c>
      <c r="Y523">
        <v>2.3137847987740605E-3</v>
      </c>
    </row>
    <row r="524" spans="1:25" x14ac:dyDescent="0.25">
      <c r="A524" s="1096"/>
      <c r="B524" s="1455">
        <v>274</v>
      </c>
      <c r="C524" s="1100">
        <v>1.007712400203177</v>
      </c>
      <c r="D524" s="1100">
        <v>1.024944577548234</v>
      </c>
      <c r="E524" s="1100">
        <v>1.0047602014436208</v>
      </c>
      <c r="F524" s="1100">
        <v>1.0324251109014466</v>
      </c>
      <c r="G524" s="1100">
        <v>1.0052436604600514</v>
      </c>
      <c r="H524" s="1100">
        <v>1.0231670150921937</v>
      </c>
      <c r="I524" s="1100">
        <v>0.97593626333019445</v>
      </c>
      <c r="K524">
        <v>1.174046279473945</v>
      </c>
      <c r="L524">
        <v>0</v>
      </c>
      <c r="M524">
        <v>7.9716396923604259E-4</v>
      </c>
      <c r="N524">
        <v>7.4422560177789573E-2</v>
      </c>
      <c r="O524">
        <v>1.0170867387122036E-2</v>
      </c>
      <c r="P524">
        <v>1.391245886128871E-2</v>
      </c>
      <c r="Q524">
        <v>4.4376699194376097E-4</v>
      </c>
      <c r="R524">
        <v>7.954384225740081E-4</v>
      </c>
      <c r="S524">
        <v>7.0590789443328944E-2</v>
      </c>
      <c r="T524">
        <v>0.85414424990119631</v>
      </c>
      <c r="U524">
        <v>0</v>
      </c>
      <c r="V524">
        <v>9.2130869299614948E-2</v>
      </c>
      <c r="W524">
        <v>4.8752695788671051E-2</v>
      </c>
      <c r="X524">
        <v>7.3148259996116049E-3</v>
      </c>
      <c r="Y524">
        <v>2.1649211700409204E-3</v>
      </c>
    </row>
    <row r="525" spans="1:25" x14ac:dyDescent="0.25">
      <c r="A525" s="1096"/>
      <c r="B525" s="1455">
        <v>275</v>
      </c>
      <c r="C525" s="1100">
        <v>0.96887376422568117</v>
      </c>
      <c r="D525" s="1100">
        <v>0.99538001281115329</v>
      </c>
      <c r="E525" s="1100">
        <v>1.0279690209283627</v>
      </c>
      <c r="F525" s="1100">
        <v>0.99496759494675335</v>
      </c>
      <c r="G525" s="1100">
        <v>0.9964104096887324</v>
      </c>
      <c r="H525" s="1100">
        <v>0.96707538154561334</v>
      </c>
      <c r="I525" s="1100">
        <v>0.9619706703904336</v>
      </c>
      <c r="K525">
        <v>1.1447663306759965</v>
      </c>
      <c r="L525">
        <v>0</v>
      </c>
      <c r="M525">
        <v>7.5553589696996835E-4</v>
      </c>
      <c r="N525">
        <v>7.5643754425143997E-2</v>
      </c>
      <c r="O525">
        <v>1.071103367565829E-2</v>
      </c>
      <c r="P525">
        <v>1.3717114373162566E-2</v>
      </c>
      <c r="Q525">
        <v>4.7826545107651833E-4</v>
      </c>
      <c r="R525">
        <v>7.5380560117058225E-4</v>
      </c>
      <c r="S525">
        <v>7.1218338375862555E-2</v>
      </c>
      <c r="T525">
        <v>0.82163840275541067</v>
      </c>
      <c r="U525">
        <v>0</v>
      </c>
      <c r="V525">
        <v>9.2743293269741595E-2</v>
      </c>
      <c r="W525">
        <v>4.8882464624720477E-2</v>
      </c>
      <c r="X525">
        <v>7.6837836665812759E-3</v>
      </c>
      <c r="Y525">
        <v>2.0516103544366828E-3</v>
      </c>
    </row>
    <row r="526" spans="1:25" x14ac:dyDescent="0.25">
      <c r="A526" s="1096"/>
      <c r="B526" s="1455">
        <v>276</v>
      </c>
      <c r="C526" s="1100">
        <v>0.97726568664212898</v>
      </c>
      <c r="D526" s="1100">
        <v>1.030135246720628</v>
      </c>
      <c r="E526" s="1100">
        <v>1.0037599836001685</v>
      </c>
      <c r="F526" s="1100">
        <v>1.030727587087567</v>
      </c>
      <c r="G526" s="1100">
        <v>0.96527302413996996</v>
      </c>
      <c r="H526" s="1100">
        <v>1.0107509155164909</v>
      </c>
      <c r="I526" s="1100">
        <v>0.98918276424939333</v>
      </c>
      <c r="K526">
        <v>1.1765973628584383</v>
      </c>
      <c r="L526">
        <v>0</v>
      </c>
      <c r="M526">
        <v>8.1206974436909068E-4</v>
      </c>
      <c r="N526">
        <v>7.558345314731553E-2</v>
      </c>
      <c r="O526">
        <v>1.0466239132103471E-2</v>
      </c>
      <c r="P526">
        <v>1.3905033768507206E-2</v>
      </c>
      <c r="Q526">
        <v>4.5619660179338018E-4</v>
      </c>
      <c r="R526">
        <v>8.1029033954105019E-4</v>
      </c>
      <c r="S526">
        <v>7.3081298258314983E-2</v>
      </c>
      <c r="T526">
        <v>0.85280796894459965</v>
      </c>
      <c r="U526">
        <v>0</v>
      </c>
      <c r="V526">
        <v>9.1188193650114491E-2</v>
      </c>
      <c r="W526">
        <v>4.9542517244326734E-2</v>
      </c>
      <c r="X526">
        <v>7.3628983240978472E-3</v>
      </c>
      <c r="Y526">
        <v>2.2053431920920964E-3</v>
      </c>
    </row>
    <row r="527" spans="1:25" x14ac:dyDescent="0.25">
      <c r="A527" s="1096"/>
      <c r="B527" s="1455">
        <v>277</v>
      </c>
      <c r="C527" s="1100">
        <v>1.0306050278696413</v>
      </c>
      <c r="D527" s="1100">
        <v>0.98444563150417685</v>
      </c>
      <c r="E527" s="1100">
        <v>0.97028319436708277</v>
      </c>
      <c r="F527" s="1100">
        <v>1.0349475924807074</v>
      </c>
      <c r="G527" s="1100">
        <v>1.0035345501127544</v>
      </c>
      <c r="H527" s="1100">
        <v>0.96900200194362685</v>
      </c>
      <c r="I527" s="1100">
        <v>1.027375234127075</v>
      </c>
      <c r="K527">
        <v>1.1681615696182996</v>
      </c>
      <c r="L527">
        <v>0</v>
      </c>
      <c r="M527">
        <v>8.056967715030116E-4</v>
      </c>
      <c r="N527">
        <v>6.7763713226347944E-2</v>
      </c>
      <c r="O527">
        <v>1.0095620724010738E-2</v>
      </c>
      <c r="P527">
        <v>1.3623791136168574E-2</v>
      </c>
      <c r="Q527">
        <v>4.2537747005934253E-4</v>
      </c>
      <c r="R527">
        <v>8.0385526809477546E-4</v>
      </c>
      <c r="S527">
        <v>7.1924852344457113E-2</v>
      </c>
      <c r="T527">
        <v>0.85860786659703625</v>
      </c>
      <c r="U527">
        <v>0</v>
      </c>
      <c r="V527">
        <v>9.1507161218546351E-2</v>
      </c>
      <c r="W527">
        <v>4.5318864832579991E-2</v>
      </c>
      <c r="X527">
        <v>6.7083345235646984E-3</v>
      </c>
      <c r="Y527">
        <v>2.1878290489360692E-3</v>
      </c>
    </row>
    <row r="528" spans="1:25" x14ac:dyDescent="0.25">
      <c r="A528" s="1096"/>
      <c r="B528" s="1455">
        <v>278</v>
      </c>
      <c r="C528" s="1100">
        <v>1.0068490417079519</v>
      </c>
      <c r="D528" s="1100">
        <v>1.0200268509567636</v>
      </c>
      <c r="E528" s="1100">
        <v>0.9717263159596724</v>
      </c>
      <c r="F528" s="1100">
        <v>1.0077763861245688</v>
      </c>
      <c r="G528" s="1100">
        <v>0.98398738393276264</v>
      </c>
      <c r="H528" s="1100">
        <v>0.99381089292817004</v>
      </c>
      <c r="I528" s="1100">
        <v>0.98511717591969361</v>
      </c>
      <c r="K528">
        <v>1.147496635484005</v>
      </c>
      <c r="L528">
        <v>0</v>
      </c>
      <c r="M528">
        <v>8.3141251820324129E-4</v>
      </c>
      <c r="N528">
        <v>7.023676882000833E-2</v>
      </c>
      <c r="O528">
        <v>1.0188557966181937E-2</v>
      </c>
      <c r="P528">
        <v>1.3311450988605752E-2</v>
      </c>
      <c r="Q528">
        <v>4.2992667831912625E-4</v>
      </c>
      <c r="R528">
        <v>8.295596762128354E-4</v>
      </c>
      <c r="S528">
        <v>7.0294765406183596E-2</v>
      </c>
      <c r="T528">
        <v>0.8359685822306685</v>
      </c>
      <c r="U528">
        <v>0</v>
      </c>
      <c r="V528">
        <v>9.1238370099414684E-2</v>
      </c>
      <c r="W528">
        <v>4.6931582724960223E-2</v>
      </c>
      <c r="X528">
        <v>6.6406954372742596E-3</v>
      </c>
      <c r="Y528">
        <v>2.2577879743775689E-3</v>
      </c>
    </row>
    <row r="529" spans="1:25" x14ac:dyDescent="0.25">
      <c r="A529" s="1096"/>
      <c r="B529" s="1455">
        <v>279</v>
      </c>
      <c r="C529" s="1100">
        <v>1.0002426585150619</v>
      </c>
      <c r="D529" s="1100">
        <v>1.0127023773073667</v>
      </c>
      <c r="E529" s="1100">
        <v>0.99721437856236195</v>
      </c>
      <c r="F529" s="1100">
        <v>1.0182804508485686</v>
      </c>
      <c r="G529" s="1100">
        <v>0.96359027136947728</v>
      </c>
      <c r="H529" s="1100">
        <v>1.0112465075604007</v>
      </c>
      <c r="I529" s="1100">
        <v>1.0386201598638818</v>
      </c>
      <c r="K529">
        <v>1.1655365349232287</v>
      </c>
      <c r="L529">
        <v>0</v>
      </c>
      <c r="M529">
        <v>8.1016892747979728E-4</v>
      </c>
      <c r="N529">
        <v>7.3930098810007866E-2</v>
      </c>
      <c r="O529">
        <v>1.0293735157888806E-2</v>
      </c>
      <c r="P529">
        <v>1.3729113574331198E-2</v>
      </c>
      <c r="Q529">
        <v>4.4573599625889558E-4</v>
      </c>
      <c r="R529">
        <v>8.0839455772624403E-4</v>
      </c>
      <c r="S529">
        <v>7.5642061897686061E-2</v>
      </c>
      <c r="T529">
        <v>0.84295056888296216</v>
      </c>
      <c r="U529">
        <v>0</v>
      </c>
      <c r="V529">
        <v>9.0532544544234511E-2</v>
      </c>
      <c r="W529">
        <v>4.864761307851391E-2</v>
      </c>
      <c r="X529">
        <v>7.1666538521618717E-3</v>
      </c>
      <c r="Y529">
        <v>2.2001834989365024E-3</v>
      </c>
    </row>
    <row r="530" spans="1:25" x14ac:dyDescent="0.25">
      <c r="A530" s="1096"/>
      <c r="B530" s="1455">
        <v>280</v>
      </c>
      <c r="C530" s="1100">
        <v>1.0465993554341255</v>
      </c>
      <c r="D530" s="1100">
        <v>1.0108987993375704</v>
      </c>
      <c r="E530" s="1100">
        <v>0.97497753994826986</v>
      </c>
      <c r="F530" s="1100">
        <v>1.0211138528765071</v>
      </c>
      <c r="G530" s="1100">
        <v>0.98420663554268273</v>
      </c>
      <c r="H530" s="1100">
        <v>1.0188650253308946</v>
      </c>
      <c r="I530" s="1100">
        <v>1.011105251389089</v>
      </c>
      <c r="K530">
        <v>1.1567231958440882</v>
      </c>
      <c r="L530">
        <v>0</v>
      </c>
      <c r="M530">
        <v>8.1744464263586018E-4</v>
      </c>
      <c r="N530">
        <v>6.9743615390635547E-2</v>
      </c>
      <c r="O530">
        <v>9.8379064281033969E-3</v>
      </c>
      <c r="P530">
        <v>1.348283631800057E-2</v>
      </c>
      <c r="Q530">
        <v>4.1650942002611336E-4</v>
      </c>
      <c r="R530">
        <v>8.1566772509161138E-4</v>
      </c>
      <c r="S530">
        <v>7.0713651926351359E-2</v>
      </c>
      <c r="T530">
        <v>0.84680959642784259</v>
      </c>
      <c r="U530">
        <v>0</v>
      </c>
      <c r="V530">
        <v>9.0313703451273541E-2</v>
      </c>
      <c r="W530">
        <v>4.6510181442592127E-2</v>
      </c>
      <c r="X530">
        <v>6.6769932939020711E-3</v>
      </c>
      <c r="Y530">
        <v>2.2199786629060539E-3</v>
      </c>
    </row>
    <row r="531" spans="1:25" x14ac:dyDescent="0.25">
      <c r="A531" s="1096"/>
      <c r="B531" s="1455">
        <v>281</v>
      </c>
      <c r="C531" s="1100">
        <v>1.0270002428385854</v>
      </c>
      <c r="D531" s="1100">
        <v>0.99497863910574569</v>
      </c>
      <c r="E531" s="1100">
        <v>1.0172191413285459</v>
      </c>
      <c r="F531" s="1100">
        <v>0.96414004338148052</v>
      </c>
      <c r="G531" s="1100">
        <v>0.98843854756115501</v>
      </c>
      <c r="H531" s="1100">
        <v>1.009348303515474</v>
      </c>
      <c r="I531" s="1100">
        <v>1.0010042475290797</v>
      </c>
      <c r="K531">
        <v>1.1142262732395884</v>
      </c>
      <c r="L531">
        <v>0</v>
      </c>
      <c r="M531">
        <v>7.6088695966757631E-4</v>
      </c>
      <c r="N531">
        <v>7.3756167831254493E-2</v>
      </c>
      <c r="O531">
        <v>1.0102992936699419E-2</v>
      </c>
      <c r="P531">
        <v>1.3247982610850957E-2</v>
      </c>
      <c r="Q531">
        <v>4.4632684614142649E-4</v>
      </c>
      <c r="R531">
        <v>7.5921738955556247E-4</v>
      </c>
      <c r="S531">
        <v>7.1596253423809098E-2</v>
      </c>
      <c r="T531">
        <v>0.79685977458750368</v>
      </c>
      <c r="U531">
        <v>0</v>
      </c>
      <c r="V531">
        <v>9.0952463081141618E-2</v>
      </c>
      <c r="W531">
        <v>4.7962763186763631E-2</v>
      </c>
      <c r="X531">
        <v>7.2368788471109669E-3</v>
      </c>
      <c r="Y531">
        <v>2.0663394584250375E-3</v>
      </c>
    </row>
    <row r="532" spans="1:25" x14ac:dyDescent="0.25">
      <c r="A532" s="1096"/>
      <c r="B532" s="1455">
        <v>282</v>
      </c>
      <c r="C532" s="1100">
        <v>0.99802159461887596</v>
      </c>
      <c r="D532" s="1100">
        <v>0.97616946941567095</v>
      </c>
      <c r="E532" s="1100">
        <v>1.0353056627442478</v>
      </c>
      <c r="F532" s="1100">
        <v>1.0058575866502177</v>
      </c>
      <c r="G532" s="1100">
        <v>0.98157142989951762</v>
      </c>
      <c r="H532" s="1100">
        <v>1.0150096896311842</v>
      </c>
      <c r="I532" s="1100">
        <v>1.0270881252897688</v>
      </c>
      <c r="K532">
        <v>1.1615166966877797</v>
      </c>
      <c r="L532">
        <v>0</v>
      </c>
      <c r="M532">
        <v>7.6407610315709076E-4</v>
      </c>
      <c r="N532">
        <v>7.821782504734362E-2</v>
      </c>
      <c r="O532">
        <v>1.0482026794417006E-2</v>
      </c>
      <c r="P532">
        <v>1.3965518502482262E-2</v>
      </c>
      <c r="Q532">
        <v>4.7144420854925974E-4</v>
      </c>
      <c r="R532">
        <v>7.6240888662989831E-4</v>
      </c>
      <c r="S532">
        <v>7.6600706089577641E-2</v>
      </c>
      <c r="T532">
        <v>0.8301502952851294</v>
      </c>
      <c r="U532">
        <v>0</v>
      </c>
      <c r="V532">
        <v>9.1363122222021045E-2</v>
      </c>
      <c r="W532">
        <v>5.0331349754084057E-2</v>
      </c>
      <c r="X532">
        <v>7.8610503393161269E-3</v>
      </c>
      <c r="Y532">
        <v>2.0750256613846513E-3</v>
      </c>
    </row>
    <row r="533" spans="1:25" x14ac:dyDescent="0.25">
      <c r="A533" s="1096"/>
      <c r="B533" s="1455">
        <v>283</v>
      </c>
      <c r="C533" s="1100">
        <v>1.0148678791711094</v>
      </c>
      <c r="D533" s="1100">
        <v>1.0325176521741837</v>
      </c>
      <c r="E533" s="1100">
        <v>0.98648835525493384</v>
      </c>
      <c r="F533" s="1100">
        <v>1.020176421840201</v>
      </c>
      <c r="G533" s="1100">
        <v>0.9709321480026053</v>
      </c>
      <c r="H533" s="1100">
        <v>1.0059571847464315</v>
      </c>
      <c r="I533" s="1100">
        <v>1.0259644302404605</v>
      </c>
      <c r="K533">
        <v>1.1599770754682959</v>
      </c>
      <c r="L533">
        <v>0</v>
      </c>
      <c r="M533">
        <v>8.0589414140296381E-4</v>
      </c>
      <c r="N533">
        <v>7.1192898773796018E-2</v>
      </c>
      <c r="O533">
        <v>1.0063647732067683E-2</v>
      </c>
      <c r="P533">
        <v>1.3609263600476533E-2</v>
      </c>
      <c r="Q533">
        <v>4.3107870170813907E-4</v>
      </c>
      <c r="R533">
        <v>8.0411985354848043E-4</v>
      </c>
      <c r="S533">
        <v>7.268915544128586E-2</v>
      </c>
      <c r="T533">
        <v>0.84524741558625849</v>
      </c>
      <c r="U533">
        <v>0</v>
      </c>
      <c r="V533">
        <v>9.0487731584366668E-2</v>
      </c>
      <c r="W533">
        <v>4.7148016855060468E-2</v>
      </c>
      <c r="X533">
        <v>6.9210923178106972E-3</v>
      </c>
      <c r="Y533">
        <v>2.1885491633204827E-3</v>
      </c>
    </row>
    <row r="534" spans="1:25" x14ac:dyDescent="0.25">
      <c r="A534" s="1096"/>
      <c r="B534" s="1455">
        <v>284</v>
      </c>
      <c r="C534" s="1100">
        <v>1.0026120910952656</v>
      </c>
      <c r="D534" s="1100">
        <v>1.0091674578038543</v>
      </c>
      <c r="E534" s="1100">
        <v>0.98772667760148691</v>
      </c>
      <c r="F534" s="1100">
        <v>1.0015981339278071</v>
      </c>
      <c r="G534" s="1100">
        <v>0.99207642574883259</v>
      </c>
      <c r="H534" s="1100">
        <v>0.98844490243166494</v>
      </c>
      <c r="I534" s="1100">
        <v>0.96816047562437735</v>
      </c>
      <c r="K534">
        <v>1.1431149847176527</v>
      </c>
      <c r="L534">
        <v>0</v>
      </c>
      <c r="M534">
        <v>8.0684094988234657E-4</v>
      </c>
      <c r="N534">
        <v>7.1541158938013147E-2</v>
      </c>
      <c r="O534">
        <v>1.0280699731867179E-2</v>
      </c>
      <c r="P534">
        <v>1.3387038056451301E-2</v>
      </c>
      <c r="Q534">
        <v>4.4092860527371992E-4</v>
      </c>
      <c r="R534">
        <v>8.0503310550083542E-4</v>
      </c>
      <c r="S534">
        <v>6.9566921686645938E-2</v>
      </c>
      <c r="T534">
        <v>0.82977210342439656</v>
      </c>
      <c r="U534">
        <v>0</v>
      </c>
      <c r="V534">
        <v>9.1690520869016245E-2</v>
      </c>
      <c r="W534">
        <v>4.7343440318015496E-2</v>
      </c>
      <c r="X534">
        <v>6.9029461982736918E-3</v>
      </c>
      <c r="Y534">
        <v>2.1910347340813679E-3</v>
      </c>
    </row>
    <row r="535" spans="1:25" x14ac:dyDescent="0.25">
      <c r="A535" s="1096"/>
      <c r="B535" s="1455">
        <v>285</v>
      </c>
      <c r="C535" s="1100">
        <v>1.0389756188034847</v>
      </c>
      <c r="D535" s="1100">
        <v>1.0325786955998992</v>
      </c>
      <c r="E535" s="1100">
        <v>0.98575963679736955</v>
      </c>
      <c r="F535" s="1100">
        <v>0.98003134832755756</v>
      </c>
      <c r="G535" s="1100">
        <v>1.0187063719463658</v>
      </c>
      <c r="H535" s="1100">
        <v>1.0199904452455941</v>
      </c>
      <c r="I535" s="1100">
        <v>1.0078887842525437</v>
      </c>
      <c r="K535">
        <v>1.1237035137940954</v>
      </c>
      <c r="L535">
        <v>0</v>
      </c>
      <c r="M535">
        <v>7.9936206282720803E-4</v>
      </c>
      <c r="N535">
        <v>7.0462536047157062E-2</v>
      </c>
      <c r="O535">
        <v>9.8296785590924699E-3</v>
      </c>
      <c r="P535">
        <v>1.3141456262128259E-2</v>
      </c>
      <c r="Q535">
        <v>4.2074588913690509E-4</v>
      </c>
      <c r="R535">
        <v>7.9762636944561425E-4</v>
      </c>
      <c r="S535">
        <v>7.0295313553271413E-2</v>
      </c>
      <c r="T535">
        <v>0.81203359451550994</v>
      </c>
      <c r="U535">
        <v>0</v>
      </c>
      <c r="V535">
        <v>9.1964075129037134E-2</v>
      </c>
      <c r="W535">
        <v>4.6684767023209957E-2</v>
      </c>
      <c r="X535">
        <v>6.7022064687636386E-3</v>
      </c>
      <c r="Y535">
        <v>2.1708760401689402E-3</v>
      </c>
    </row>
    <row r="536" spans="1:25" x14ac:dyDescent="0.25">
      <c r="A536" s="1096"/>
      <c r="B536" s="1455">
        <v>286</v>
      </c>
      <c r="C536" s="1100">
        <v>1.0296965555306017</v>
      </c>
      <c r="D536" s="1100">
        <v>0.98738483241277331</v>
      </c>
      <c r="E536" s="1100">
        <v>1.0117331632887081</v>
      </c>
      <c r="F536" s="1100">
        <v>0.9834192628658579</v>
      </c>
      <c r="G536" s="1100">
        <v>1.003748015969282</v>
      </c>
      <c r="H536" s="1100">
        <v>0.99117619795614975</v>
      </c>
      <c r="I536" s="1100">
        <v>0.96710457055311316</v>
      </c>
      <c r="K536">
        <v>1.1255431735553916</v>
      </c>
      <c r="L536">
        <v>0</v>
      </c>
      <c r="M536">
        <v>7.5609306266570184E-4</v>
      </c>
      <c r="N536">
        <v>7.2085091680201288E-2</v>
      </c>
      <c r="O536">
        <v>1.0105708716678218E-2</v>
      </c>
      <c r="P536">
        <v>1.3384785093723777E-2</v>
      </c>
      <c r="Q536">
        <v>4.4401121461953977E-4</v>
      </c>
      <c r="R536">
        <v>7.5440359467906072E-4</v>
      </c>
      <c r="S536">
        <v>6.8557975338282659E-2</v>
      </c>
      <c r="T536">
        <v>0.81314865528423419</v>
      </c>
      <c r="U536">
        <v>0</v>
      </c>
      <c r="V536">
        <v>9.154281124858088E-2</v>
      </c>
      <c r="W536">
        <v>4.7027434281852548E-2</v>
      </c>
      <c r="X536">
        <v>7.1951522695673405E-3</v>
      </c>
      <c r="Y536">
        <v>2.053237895638254E-3</v>
      </c>
    </row>
    <row r="537" spans="1:25" x14ac:dyDescent="0.25">
      <c r="A537" s="1096"/>
      <c r="B537" s="1455">
        <v>287</v>
      </c>
      <c r="C537" s="1100">
        <v>1.0021536548579302</v>
      </c>
      <c r="D537" s="1100">
        <v>0.95746471786010712</v>
      </c>
      <c r="E537" s="1100">
        <v>0.97887419765441874</v>
      </c>
      <c r="F537" s="1100">
        <v>1.0236971678094557</v>
      </c>
      <c r="G537" s="1100">
        <v>1.0203596463195919</v>
      </c>
      <c r="H537" s="1100">
        <v>1.0042561158522361</v>
      </c>
      <c r="I537" s="1100">
        <v>0.993176925392809</v>
      </c>
      <c r="K537">
        <v>1.1720275131529445</v>
      </c>
      <c r="L537">
        <v>0</v>
      </c>
      <c r="M537">
        <v>8.5303864480215424E-4</v>
      </c>
      <c r="N537">
        <v>7.3641482248584259E-2</v>
      </c>
      <c r="O537">
        <v>1.0501132918133068E-2</v>
      </c>
      <c r="P537">
        <v>1.3627041888424306E-2</v>
      </c>
      <c r="Q537">
        <v>4.4635591025904089E-4</v>
      </c>
      <c r="R537">
        <v>8.5115738056818142E-4</v>
      </c>
      <c r="S537">
        <v>7.3993541428805418E-2</v>
      </c>
      <c r="T537">
        <v>0.84868487000537085</v>
      </c>
      <c r="U537">
        <v>0</v>
      </c>
      <c r="V537">
        <v>9.2910173447302638E-2</v>
      </c>
      <c r="W537">
        <v>4.8993871157555949E-2</v>
      </c>
      <c r="X537">
        <v>6.9143556067921257E-3</v>
      </c>
      <c r="Y537">
        <v>2.3165698059514944E-3</v>
      </c>
    </row>
    <row r="538" spans="1:25" x14ac:dyDescent="0.25">
      <c r="A538" s="1096"/>
      <c r="B538" s="1455">
        <v>288</v>
      </c>
      <c r="C538" s="1100">
        <v>1.0044193148354743</v>
      </c>
      <c r="D538" s="1100">
        <v>0.97789537377788904</v>
      </c>
      <c r="E538" s="1100">
        <v>0.97477526640112067</v>
      </c>
      <c r="F538" s="1100">
        <v>1.0160368943458769</v>
      </c>
      <c r="G538" s="1100">
        <v>0.99371074070612253</v>
      </c>
      <c r="H538" s="1100">
        <v>0.95918701013790797</v>
      </c>
      <c r="I538" s="1100">
        <v>1.0081894185985985</v>
      </c>
      <c r="K538">
        <v>1.1553987698791512</v>
      </c>
      <c r="L538">
        <v>0</v>
      </c>
      <c r="M538">
        <v>8.1293909063682784E-4</v>
      </c>
      <c r="N538">
        <v>6.9307359145900957E-2</v>
      </c>
      <c r="O538">
        <v>1.0387988052906621E-2</v>
      </c>
      <c r="P538">
        <v>1.3464254660347676E-2</v>
      </c>
      <c r="Q538">
        <v>4.3970766894735531E-4</v>
      </c>
      <c r="R538">
        <v>8.1106202138080217E-4</v>
      </c>
      <c r="S538">
        <v>7.2272619871745519E-2</v>
      </c>
      <c r="T538">
        <v>0.8426130486275919</v>
      </c>
      <c r="U538">
        <v>0</v>
      </c>
      <c r="V538">
        <v>9.1714168786364014E-2</v>
      </c>
      <c r="W538">
        <v>4.6224922070518593E-2</v>
      </c>
      <c r="X538">
        <v>6.7691346084100103E-3</v>
      </c>
      <c r="Y538">
        <v>2.2074434556750514E-3</v>
      </c>
    </row>
    <row r="539" spans="1:25" x14ac:dyDescent="0.25">
      <c r="A539" s="1096"/>
      <c r="B539" s="1455">
        <v>289</v>
      </c>
      <c r="C539" s="1100">
        <v>0.9953604832354257</v>
      </c>
      <c r="D539" s="1100">
        <v>0.99555315892560725</v>
      </c>
      <c r="E539" s="1100">
        <v>1.0282307118996405</v>
      </c>
      <c r="F539" s="1100">
        <v>1.0053102411802031</v>
      </c>
      <c r="G539" s="1100">
        <v>1.031147322200858</v>
      </c>
      <c r="H539" s="1100">
        <v>1.0266310721007614</v>
      </c>
      <c r="I539" s="1100">
        <v>1.0192992640145753</v>
      </c>
      <c r="K539">
        <v>1.1630078761192488</v>
      </c>
      <c r="L539">
        <v>0</v>
      </c>
      <c r="M539">
        <v>7.8024143339152827E-4</v>
      </c>
      <c r="N539">
        <v>7.8189325158887074E-2</v>
      </c>
      <c r="O539">
        <v>1.0425372387512222E-2</v>
      </c>
      <c r="P539">
        <v>1.3915269410169216E-2</v>
      </c>
      <c r="Q539">
        <v>4.6563078382297617E-4</v>
      </c>
      <c r="R539">
        <v>7.7855821610595414E-4</v>
      </c>
      <c r="S539">
        <v>7.5935013341420235E-2</v>
      </c>
      <c r="T539">
        <v>0.83016212173720527</v>
      </c>
      <c r="U539">
        <v>0</v>
      </c>
      <c r="V539">
        <v>9.3546859208082561E-2</v>
      </c>
      <c r="W539">
        <v>5.0519775662935328E-2</v>
      </c>
      <c r="X539">
        <v>7.7312128339045282E-3</v>
      </c>
      <c r="Y539">
        <v>2.1189788125934449E-3</v>
      </c>
    </row>
    <row r="540" spans="1:25" x14ac:dyDescent="0.25">
      <c r="A540" s="1096"/>
      <c r="B540" s="1455">
        <v>290</v>
      </c>
      <c r="C540" s="1100">
        <v>0.98215530816785757</v>
      </c>
      <c r="D540" s="1100">
        <v>1.0380267632005347</v>
      </c>
      <c r="E540" s="1100">
        <v>1.0144286969269225</v>
      </c>
      <c r="F540" s="1100">
        <v>1.0308688231573218</v>
      </c>
      <c r="G540" s="1100">
        <v>1.012173933368955</v>
      </c>
      <c r="H540" s="1100">
        <v>0.96910703040801272</v>
      </c>
      <c r="I540" s="1100">
        <v>0.99383929772510082</v>
      </c>
      <c r="K540">
        <v>1.1706714588449076</v>
      </c>
      <c r="L540">
        <v>0</v>
      </c>
      <c r="M540">
        <v>7.5544560464031556E-4</v>
      </c>
      <c r="N540">
        <v>7.2608030840945081E-2</v>
      </c>
      <c r="O540">
        <v>1.0385899360298274E-2</v>
      </c>
      <c r="P540">
        <v>1.4005562751606122E-2</v>
      </c>
      <c r="Q540">
        <v>4.575510101094184E-4</v>
      </c>
      <c r="R540">
        <v>7.5371914260615065E-4</v>
      </c>
      <c r="S540">
        <v>7.1098171433711083E-2</v>
      </c>
      <c r="T540">
        <v>0.85219994313550174</v>
      </c>
      <c r="U540">
        <v>0</v>
      </c>
      <c r="V540">
        <v>9.306865219363189E-2</v>
      </c>
      <c r="W540">
        <v>4.7293543405867652E-2</v>
      </c>
      <c r="X540">
        <v>7.5044561325434134E-3</v>
      </c>
      <c r="Y540">
        <v>2.0513750427253582E-3</v>
      </c>
    </row>
    <row r="541" spans="1:25" x14ac:dyDescent="0.25">
      <c r="A541" s="1096"/>
      <c r="B541" s="1455">
        <v>291</v>
      </c>
      <c r="C541" s="1100">
        <v>0.9966629773330451</v>
      </c>
      <c r="D541" s="1100">
        <v>0.99819578742051851</v>
      </c>
      <c r="E541" s="1100">
        <v>0.96558360751760031</v>
      </c>
      <c r="F541" s="1100">
        <v>1.0163451876072862</v>
      </c>
      <c r="G541" s="1100">
        <v>1.0211099599812365</v>
      </c>
      <c r="H541" s="1100">
        <v>0.98376047573566028</v>
      </c>
      <c r="I541" s="1100">
        <v>1.013644972245396</v>
      </c>
      <c r="K541">
        <v>1.1608642896340797</v>
      </c>
      <c r="L541">
        <v>0</v>
      </c>
      <c r="M541">
        <v>8.4934242148327634E-4</v>
      </c>
      <c r="N541">
        <v>7.0427527404378618E-2</v>
      </c>
      <c r="O541">
        <v>1.0380136957885857E-2</v>
      </c>
      <c r="P541">
        <v>1.3415288999784414E-2</v>
      </c>
      <c r="Q541">
        <v>4.3526732855725321E-4</v>
      </c>
      <c r="R541">
        <v>8.4743028440118168E-4</v>
      </c>
      <c r="S541">
        <v>7.3462705648915994E-2</v>
      </c>
      <c r="T541">
        <v>0.84349621066710967</v>
      </c>
      <c r="U541">
        <v>0</v>
      </c>
      <c r="V541">
        <v>9.3076932263426379E-2</v>
      </c>
      <c r="W541">
        <v>4.723550180497757E-2</v>
      </c>
      <c r="X541">
        <v>6.6302048173027504E-3</v>
      </c>
      <c r="Y541">
        <v>2.3064258788218425E-3</v>
      </c>
    </row>
    <row r="542" spans="1:25" x14ac:dyDescent="0.25">
      <c r="A542" s="1096"/>
      <c r="B542" s="1455">
        <v>292</v>
      </c>
      <c r="C542" s="1100">
        <v>0.97708387066579505</v>
      </c>
      <c r="D542" s="1100">
        <v>0.98329894822582564</v>
      </c>
      <c r="E542" s="1100">
        <v>0.98445242661040522</v>
      </c>
      <c r="F542" s="1100">
        <v>0.98851582476495847</v>
      </c>
      <c r="G542" s="1100">
        <v>0.97904343080803025</v>
      </c>
      <c r="H542" s="1100">
        <v>0.99617972221004736</v>
      </c>
      <c r="I542" s="1100">
        <v>0.99082421027582379</v>
      </c>
      <c r="K542">
        <v>1.1428209320209031</v>
      </c>
      <c r="L542">
        <v>0</v>
      </c>
      <c r="M542">
        <v>8.488452803016148E-4</v>
      </c>
      <c r="N542">
        <v>7.4525280721807391E-2</v>
      </c>
      <c r="O542">
        <v>1.0658349142423347E-2</v>
      </c>
      <c r="P542">
        <v>1.3276591557282055E-2</v>
      </c>
      <c r="Q542">
        <v>4.5561196457683553E-4</v>
      </c>
      <c r="R542">
        <v>8.4695808685849715E-4</v>
      </c>
      <c r="S542">
        <v>7.4354795482054564E-2</v>
      </c>
      <c r="T542">
        <v>0.81914982792997193</v>
      </c>
      <c r="U542">
        <v>0</v>
      </c>
      <c r="V542">
        <v>9.1778372429566824E-2</v>
      </c>
      <c r="W542">
        <v>4.9415359774587754E-2</v>
      </c>
      <c r="X542">
        <v>6.9034894993051784E-3</v>
      </c>
      <c r="Y542">
        <v>2.3051407127705329E-3</v>
      </c>
    </row>
    <row r="543" spans="1:25" x14ac:dyDescent="0.25">
      <c r="A543" s="1096"/>
      <c r="B543" s="1455">
        <v>293</v>
      </c>
      <c r="C543" s="1100">
        <v>1.0064661201821781</v>
      </c>
      <c r="D543" s="1100">
        <v>0.98086683850435474</v>
      </c>
      <c r="E543" s="1100">
        <v>0.99298667000679264</v>
      </c>
      <c r="F543" s="1100">
        <v>0.99855559485188361</v>
      </c>
      <c r="G543" s="1100">
        <v>0.98964115769349192</v>
      </c>
      <c r="H543" s="1100">
        <v>1.0119052762955028</v>
      </c>
      <c r="I543" s="1100">
        <v>1.0050029519037187</v>
      </c>
      <c r="K543">
        <v>1.1489813099696256</v>
      </c>
      <c r="L543">
        <v>0</v>
      </c>
      <c r="M543">
        <v>8.2322584929530988E-4</v>
      </c>
      <c r="N543">
        <v>7.4167930651542646E-2</v>
      </c>
      <c r="O543">
        <v>1.0360241591746391E-2</v>
      </c>
      <c r="P543">
        <v>1.3458283652542813E-2</v>
      </c>
      <c r="Q543">
        <v>4.4670828270997867E-4</v>
      </c>
      <c r="R543">
        <v>8.214240570382004E-4</v>
      </c>
      <c r="S543">
        <v>7.396414579495221E-2</v>
      </c>
      <c r="T543">
        <v>0.82690214412202268</v>
      </c>
      <c r="U543">
        <v>0</v>
      </c>
      <c r="V543">
        <v>9.1492518607352358E-2</v>
      </c>
      <c r="W543">
        <v>4.8927373560276537E-2</v>
      </c>
      <c r="X543">
        <v>7.0281199978460907E-3</v>
      </c>
      <c r="Y543">
        <v>2.2356455008903527E-3</v>
      </c>
    </row>
    <row r="544" spans="1:25" x14ac:dyDescent="0.25">
      <c r="A544" s="1096"/>
      <c r="B544" s="1455">
        <v>294</v>
      </c>
      <c r="C544" s="1100">
        <v>0.96983403215744757</v>
      </c>
      <c r="D544" s="1100">
        <v>0.97753152344848337</v>
      </c>
      <c r="E544" s="1100">
        <v>0.98911195196756796</v>
      </c>
      <c r="F544" s="1100">
        <v>0.98561911936315816</v>
      </c>
      <c r="G544" s="1100">
        <v>0.99656512828558008</v>
      </c>
      <c r="H544" s="1100">
        <v>0.95141054983555096</v>
      </c>
      <c r="I544" s="1100">
        <v>0.9998754221179349</v>
      </c>
      <c r="K544">
        <v>1.1367232183816309</v>
      </c>
      <c r="L544">
        <v>0</v>
      </c>
      <c r="M544">
        <v>8.1082336453506382E-4</v>
      </c>
      <c r="N544">
        <v>7.2189742156777578E-2</v>
      </c>
      <c r="O544">
        <v>1.0764904408490719E-2</v>
      </c>
      <c r="P544">
        <v>1.3293870514718722E-2</v>
      </c>
      <c r="Q544">
        <v>4.6234312586885856E-4</v>
      </c>
      <c r="R544">
        <v>8.089358779667517E-4</v>
      </c>
      <c r="S544">
        <v>7.3934988990391332E-2</v>
      </c>
      <c r="T544">
        <v>0.81644341387366837</v>
      </c>
      <c r="U544">
        <v>0</v>
      </c>
      <c r="V544">
        <v>9.2717932484174301E-2</v>
      </c>
      <c r="W544">
        <v>4.7732972127608457E-2</v>
      </c>
      <c r="X544">
        <v>6.9832813923146443E-3</v>
      </c>
      <c r="Y544">
        <v>2.201656794184994E-3</v>
      </c>
    </row>
    <row r="545" spans="1:25" x14ac:dyDescent="0.25">
      <c r="A545" s="1096"/>
      <c r="B545" s="1455">
        <v>295</v>
      </c>
      <c r="C545" s="1100">
        <v>0.95531156711594811</v>
      </c>
      <c r="D545" s="1100">
        <v>0.99317020855321525</v>
      </c>
      <c r="E545" s="1100">
        <v>1.0105465367430644</v>
      </c>
      <c r="F545" s="1100">
        <v>1.0128089329953771</v>
      </c>
      <c r="G545" s="1100">
        <v>0.98338749847994933</v>
      </c>
      <c r="H545" s="1100">
        <v>0.96662186371918712</v>
      </c>
      <c r="I545" s="1100">
        <v>1.025257662926127</v>
      </c>
      <c r="K545">
        <v>1.1667548501565184</v>
      </c>
      <c r="L545">
        <v>0</v>
      </c>
      <c r="M545">
        <v>7.94879237053077E-4</v>
      </c>
      <c r="N545">
        <v>7.5507649582283759E-2</v>
      </c>
      <c r="O545">
        <v>1.0866752771121138E-2</v>
      </c>
      <c r="P545">
        <v>1.3838294818034008E-2</v>
      </c>
      <c r="Q545">
        <v>4.7688330054847727E-4</v>
      </c>
      <c r="R545">
        <v>7.9305798473822391E-4</v>
      </c>
      <c r="S545">
        <v>7.7027993359275279E-2</v>
      </c>
      <c r="T545">
        <v>0.8375288890253445</v>
      </c>
      <c r="U545">
        <v>0</v>
      </c>
      <c r="V545">
        <v>9.2546676659755467E-2</v>
      </c>
      <c r="W545">
        <v>4.9294719059773624E-2</v>
      </c>
      <c r="X545">
        <v>7.5103704297330293E-3</v>
      </c>
      <c r="Y545">
        <v>2.1584424029630379E-3</v>
      </c>
    </row>
    <row r="546" spans="1:25" x14ac:dyDescent="0.25">
      <c r="A546" s="1096"/>
      <c r="B546" s="1455">
        <v>296</v>
      </c>
      <c r="C546" s="1100">
        <v>0.97994366479111694</v>
      </c>
      <c r="D546" s="1100">
        <v>1.0159466509992183</v>
      </c>
      <c r="E546" s="1100">
        <v>0.99501980457651307</v>
      </c>
      <c r="F546" s="1100">
        <v>1.0014817799236457</v>
      </c>
      <c r="G546" s="1100">
        <v>0.96823868571558314</v>
      </c>
      <c r="H546" s="1100">
        <v>0.99269280504599156</v>
      </c>
      <c r="I546" s="1100">
        <v>0.96987171231969771</v>
      </c>
      <c r="K546">
        <v>1.1478458696993266</v>
      </c>
      <c r="L546">
        <v>0</v>
      </c>
      <c r="M546">
        <v>8.1443769224204547E-4</v>
      </c>
      <c r="N546">
        <v>7.3825336654315329E-2</v>
      </c>
      <c r="O546">
        <v>1.049280245356689E-2</v>
      </c>
      <c r="P546">
        <v>1.3469443137842783E-2</v>
      </c>
      <c r="Q546">
        <v>4.5335261394450268E-4</v>
      </c>
      <c r="R546">
        <v>8.1262063516973127E-4</v>
      </c>
      <c r="S546">
        <v>7.1235448251682251E-2</v>
      </c>
      <c r="T546">
        <v>0.82919011484179916</v>
      </c>
      <c r="U546">
        <v>0</v>
      </c>
      <c r="V546">
        <v>9.1244119974207172E-2</v>
      </c>
      <c r="W546">
        <v>4.8642276368820958E-2</v>
      </c>
      <c r="X546">
        <v>7.0831069716076039E-3</v>
      </c>
      <c r="Y546">
        <v>2.2116854886116192E-3</v>
      </c>
    </row>
    <row r="547" spans="1:25" x14ac:dyDescent="0.25">
      <c r="A547" s="1096"/>
      <c r="B547" s="1455">
        <v>297</v>
      </c>
      <c r="C547" s="1100">
        <v>0.97756679332888285</v>
      </c>
      <c r="D547" s="1100">
        <v>1.008178929598319</v>
      </c>
      <c r="E547" s="1100">
        <v>1.0135794530569306</v>
      </c>
      <c r="F547" s="1100">
        <v>1.000212535828408</v>
      </c>
      <c r="G547" s="1100">
        <v>0.95732889438354285</v>
      </c>
      <c r="H547" s="1100">
        <v>0.99116699637703354</v>
      </c>
      <c r="I547" s="1100">
        <v>1.0258426239833955</v>
      </c>
      <c r="K547">
        <v>1.1524036825649639</v>
      </c>
      <c r="L547">
        <v>0</v>
      </c>
      <c r="M547">
        <v>7.8676872139849658E-4</v>
      </c>
      <c r="N547">
        <v>7.5428859368024889E-2</v>
      </c>
      <c r="O547">
        <v>1.0556854282925399E-2</v>
      </c>
      <c r="P547">
        <v>1.3682554741340039E-2</v>
      </c>
      <c r="Q547">
        <v>4.6468864496264188E-4</v>
      </c>
      <c r="R547">
        <v>7.8501069322279313E-4</v>
      </c>
      <c r="S547">
        <v>7.5785636216774296E-2</v>
      </c>
      <c r="T547">
        <v>0.82691281524280791</v>
      </c>
      <c r="U547">
        <v>0</v>
      </c>
      <c r="V547">
        <v>9.0842656527621968E-2</v>
      </c>
      <c r="W547">
        <v>4.9155434193126721E-2</v>
      </c>
      <c r="X547">
        <v>7.4394010473077593E-3</v>
      </c>
      <c r="Y547">
        <v>2.1365403282469692E-3</v>
      </c>
    </row>
    <row r="548" spans="1:25" x14ac:dyDescent="0.25">
      <c r="A548" s="1096"/>
      <c r="B548" s="1455">
        <v>298</v>
      </c>
      <c r="C548" s="1100">
        <v>0.98250792660595898</v>
      </c>
      <c r="D548" s="1100">
        <v>0.99186219193677583</v>
      </c>
      <c r="E548" s="1100">
        <v>1.0287392489120979</v>
      </c>
      <c r="F548" s="1100">
        <v>0.98686666910759968</v>
      </c>
      <c r="G548" s="1100">
        <v>0.98573826818058041</v>
      </c>
      <c r="H548" s="1100">
        <v>0.98011047591551215</v>
      </c>
      <c r="I548" s="1100">
        <v>1.0030009177868091</v>
      </c>
      <c r="K548">
        <v>1.13984141732947</v>
      </c>
      <c r="L548">
        <v>0</v>
      </c>
      <c r="M548">
        <v>7.5495159340417922E-4</v>
      </c>
      <c r="N548">
        <v>7.5763294343744819E-2</v>
      </c>
      <c r="O548">
        <v>1.0577624956909167E-2</v>
      </c>
      <c r="P548">
        <v>1.3657105690913818E-2</v>
      </c>
      <c r="Q548">
        <v>4.7266866497927719E-4</v>
      </c>
      <c r="R548">
        <v>7.5324563022700875E-4</v>
      </c>
      <c r="S548">
        <v>7.3903633692699061E-2</v>
      </c>
      <c r="T548">
        <v>0.81489908117097232</v>
      </c>
      <c r="U548">
        <v>0</v>
      </c>
      <c r="V548">
        <v>9.1932240757999162E-2</v>
      </c>
      <c r="W548">
        <v>4.8937800437518858E-2</v>
      </c>
      <c r="X548">
        <v>7.649587278786142E-3</v>
      </c>
      <c r="Y548">
        <v>2.0500862981226472E-3</v>
      </c>
    </row>
    <row r="549" spans="1:25" x14ac:dyDescent="0.25">
      <c r="A549" s="1096"/>
      <c r="B549" s="1455">
        <v>299</v>
      </c>
      <c r="C549" s="1100">
        <v>1.0104967612926761</v>
      </c>
      <c r="D549" s="1100">
        <v>0.98638972889447107</v>
      </c>
      <c r="E549" s="1100">
        <v>1.0103751178565052</v>
      </c>
      <c r="F549" s="1100">
        <v>0.99300833680943201</v>
      </c>
      <c r="G549" s="1100">
        <v>0.96281545873817376</v>
      </c>
      <c r="H549" s="1100">
        <v>1.0084549769848243</v>
      </c>
      <c r="I549" s="1100">
        <v>0.9866909566694122</v>
      </c>
      <c r="K549">
        <v>1.1405236987824132</v>
      </c>
      <c r="L549">
        <v>0</v>
      </c>
      <c r="M549">
        <v>7.8642243290956491E-4</v>
      </c>
      <c r="N549">
        <v>7.46727795095328E-2</v>
      </c>
      <c r="O549">
        <v>1.0301431915316532E-2</v>
      </c>
      <c r="P549">
        <v>1.3511067670425848E-2</v>
      </c>
      <c r="Q549">
        <v>4.5199697065109707E-4</v>
      </c>
      <c r="R549">
        <v>7.8469530318910573E-4</v>
      </c>
      <c r="S549">
        <v>7.2001153955348007E-2</v>
      </c>
      <c r="T549">
        <v>0.82116626082639588</v>
      </c>
      <c r="U549">
        <v>0</v>
      </c>
      <c r="V549">
        <v>9.0250268628526892E-2</v>
      </c>
      <c r="W549">
        <v>4.875460526480354E-2</v>
      </c>
      <c r="X549">
        <v>7.2801792305880993E-3</v>
      </c>
      <c r="Y549">
        <v>2.1356819405435701E-3</v>
      </c>
    </row>
    <row r="550" spans="1:25" x14ac:dyDescent="0.25">
      <c r="A550" s="1096"/>
      <c r="B550" s="1455">
        <v>300</v>
      </c>
      <c r="C550" s="1100">
        <v>1.0149022681638709</v>
      </c>
      <c r="D550" s="1100">
        <v>1.0010434332270495</v>
      </c>
      <c r="E550" s="1100">
        <v>1.0092997942715829</v>
      </c>
      <c r="F550" s="1100">
        <v>1.000510519917841</v>
      </c>
      <c r="G550" s="1100">
        <v>0.99892286657151919</v>
      </c>
      <c r="H550" s="1100">
        <v>1.0343382631588982</v>
      </c>
      <c r="I550" s="1100">
        <v>0.98429278720835267</v>
      </c>
      <c r="K550">
        <v>1.150046954161682</v>
      </c>
      <c r="L550">
        <v>0</v>
      </c>
      <c r="M550">
        <v>8.001678667737389E-4</v>
      </c>
      <c r="N550">
        <v>7.5735856285925954E-2</v>
      </c>
      <c r="O550">
        <v>1.0196045392738882E-2</v>
      </c>
      <c r="P550">
        <v>1.3606096431351194E-2</v>
      </c>
      <c r="Q550">
        <v>4.4689223392274348E-4</v>
      </c>
      <c r="R550">
        <v>7.984545246437232E-4</v>
      </c>
      <c r="S550">
        <v>7.1995191760878971E-2</v>
      </c>
      <c r="T550">
        <v>0.82744106114703153</v>
      </c>
      <c r="U550">
        <v>0</v>
      </c>
      <c r="V550">
        <v>9.1687094961819871E-2</v>
      </c>
      <c r="W550">
        <v>4.9480067752486652E-2</v>
      </c>
      <c r="X550">
        <v>7.2872315320393448E-3</v>
      </c>
      <c r="Y550">
        <v>2.1731300056169055E-3</v>
      </c>
    </row>
    <row r="551" spans="1:25" x14ac:dyDescent="0.25">
      <c r="A551" s="1096"/>
      <c r="B551" s="1455">
        <v>301</v>
      </c>
      <c r="C551" s="1100">
        <v>1.002733325740766</v>
      </c>
      <c r="D551" s="1100">
        <v>0.97616890916556043</v>
      </c>
      <c r="E551" s="1100">
        <v>1.0045728593772736</v>
      </c>
      <c r="F551" s="1100">
        <v>1.0095089179913637</v>
      </c>
      <c r="G551" s="1100">
        <v>1.0121811041931543</v>
      </c>
      <c r="H551" s="1100">
        <v>1.0177339746791052</v>
      </c>
      <c r="I551" s="1100">
        <v>1.0027865662135591</v>
      </c>
      <c r="K551">
        <v>1.1618902077326139</v>
      </c>
      <c r="L551">
        <v>0</v>
      </c>
      <c r="M551">
        <v>8.1287845264249711E-4</v>
      </c>
      <c r="N551">
        <v>7.5845846099003869E-2</v>
      </c>
      <c r="O551">
        <v>1.0422615951467214E-2</v>
      </c>
      <c r="P551">
        <v>1.3710804742534813E-2</v>
      </c>
      <c r="Q551">
        <v>4.5466567354076443E-4</v>
      </c>
      <c r="R551">
        <v>8.1110949710594773E-4</v>
      </c>
      <c r="S551">
        <v>7.4511826198748216E-2</v>
      </c>
      <c r="T551">
        <v>0.83519775504295946</v>
      </c>
      <c r="U551">
        <v>0</v>
      </c>
      <c r="V551">
        <v>9.2549546314121517E-2</v>
      </c>
      <c r="W551">
        <v>4.9690573459023585E-2</v>
      </c>
      <c r="X551">
        <v>7.3007705378012079E-3</v>
      </c>
      <c r="Y551">
        <v>2.2075726689485295E-3</v>
      </c>
    </row>
    <row r="552" spans="1:25" x14ac:dyDescent="0.25">
      <c r="A552" s="1096"/>
      <c r="B552" s="1455">
        <v>302</v>
      </c>
      <c r="C552" s="1100">
        <v>1.0243046997202305</v>
      </c>
      <c r="D552" s="1100">
        <v>0.98351711633452477</v>
      </c>
      <c r="E552" s="1100">
        <v>1.0343001963258838</v>
      </c>
      <c r="F552" s="1100">
        <v>1.0357680605396367</v>
      </c>
      <c r="G552" s="1100">
        <v>0.99321057521050982</v>
      </c>
      <c r="H552" s="1100">
        <v>1.0045336955692623</v>
      </c>
      <c r="I552" s="1100">
        <v>0.97213873736433731</v>
      </c>
      <c r="K552">
        <v>1.1742625177653494</v>
      </c>
      <c r="L552">
        <v>0</v>
      </c>
      <c r="M552">
        <v>7.3612166356545547E-4</v>
      </c>
      <c r="N552">
        <v>7.5126456904733005E-2</v>
      </c>
      <c r="O552">
        <v>1.0182150015401098E-2</v>
      </c>
      <c r="P552">
        <v>1.4206520963303224E-2</v>
      </c>
      <c r="Q552">
        <v>4.5750298807152991E-4</v>
      </c>
      <c r="R552">
        <v>7.3449869290927335E-4</v>
      </c>
      <c r="S552">
        <v>6.9962415131208336E-2</v>
      </c>
      <c r="T552">
        <v>0.85490365888472364</v>
      </c>
      <c r="U552">
        <v>0</v>
      </c>
      <c r="V552">
        <v>9.1222760377508719E-2</v>
      </c>
      <c r="W552">
        <v>4.8370243230071878E-2</v>
      </c>
      <c r="X552">
        <v>7.8333689263146294E-3</v>
      </c>
      <c r="Y552">
        <v>1.9990633146699977E-3</v>
      </c>
    </row>
    <row r="553" spans="1:25" x14ac:dyDescent="0.25">
      <c r="A553" s="1096"/>
      <c r="B553" s="1455">
        <v>303</v>
      </c>
      <c r="C553" s="1100">
        <v>1.0374718866049204</v>
      </c>
      <c r="D553" s="1100">
        <v>0.99762919350979284</v>
      </c>
      <c r="E553" s="1100">
        <v>0.97261254570509159</v>
      </c>
      <c r="F553" s="1100">
        <v>0.99596598051265739</v>
      </c>
      <c r="G553" s="1100">
        <v>0.97606713032782455</v>
      </c>
      <c r="H553" s="1100">
        <v>1.0066458722255971</v>
      </c>
      <c r="I553" s="1100">
        <v>1.0215352474155994</v>
      </c>
      <c r="K553">
        <v>1.1370399043515338</v>
      </c>
      <c r="L553">
        <v>0</v>
      </c>
      <c r="M553">
        <v>8.2307549283763728E-4</v>
      </c>
      <c r="N553">
        <v>6.9721256395131326E-2</v>
      </c>
      <c r="O553">
        <v>9.9763081308881733E-3</v>
      </c>
      <c r="P553">
        <v>1.3198372858238194E-2</v>
      </c>
      <c r="Q553">
        <v>4.213513939800969E-4</v>
      </c>
      <c r="R553">
        <v>8.2126461759399498E-4</v>
      </c>
      <c r="S553">
        <v>7.2068426298637731E-2</v>
      </c>
      <c r="T553">
        <v>0.82611240830386301</v>
      </c>
      <c r="U553">
        <v>0</v>
      </c>
      <c r="V553">
        <v>9.0173515707673138E-2</v>
      </c>
      <c r="W553">
        <v>4.6562043343422503E-2</v>
      </c>
      <c r="X553">
        <v>6.5728212356599008E-3</v>
      </c>
      <c r="Y553">
        <v>2.2352115592824246E-3</v>
      </c>
    </row>
    <row r="554" spans="1:25" x14ac:dyDescent="0.25">
      <c r="A554" s="1096"/>
      <c r="B554" s="1455">
        <v>304</v>
      </c>
      <c r="C554" s="1100">
        <v>1.0069333488698193</v>
      </c>
      <c r="D554" s="1100">
        <v>0.97438119654640942</v>
      </c>
      <c r="E554" s="1100">
        <v>1.0204475611870074</v>
      </c>
      <c r="F554" s="1100">
        <v>0.99040057874563714</v>
      </c>
      <c r="G554" s="1100">
        <v>1.0296724613717037</v>
      </c>
      <c r="H554" s="1100">
        <v>0.96074665564897743</v>
      </c>
      <c r="I554" s="1100">
        <v>1.0022582262556357</v>
      </c>
      <c r="K554">
        <v>1.1368081013755846</v>
      </c>
      <c r="L554">
        <v>0</v>
      </c>
      <c r="M554">
        <v>7.3990332589690352E-4</v>
      </c>
      <c r="N554">
        <v>7.2416080583052864E-2</v>
      </c>
      <c r="O554">
        <v>1.0391978963495033E-2</v>
      </c>
      <c r="P554">
        <v>1.3612429759300059E-2</v>
      </c>
      <c r="Q554">
        <v>4.6057036441271814E-4</v>
      </c>
      <c r="R554">
        <v>7.3819766899474394E-4</v>
      </c>
      <c r="S554">
        <v>7.1918196405366952E-2</v>
      </c>
      <c r="T554">
        <v>0.81835431971342354</v>
      </c>
      <c r="U554">
        <v>0</v>
      </c>
      <c r="V554">
        <v>9.3196393089730142E-2</v>
      </c>
      <c r="W554">
        <v>4.7002376798008005E-2</v>
      </c>
      <c r="X554">
        <v>7.4483306474900559E-3</v>
      </c>
      <c r="Y554">
        <v>2.0091307082075109E-3</v>
      </c>
    </row>
    <row r="555" spans="1:25" x14ac:dyDescent="0.25">
      <c r="A555" s="1096"/>
      <c r="B555" s="1455">
        <v>305</v>
      </c>
      <c r="C555" s="1100">
        <v>1.0166832251707409</v>
      </c>
      <c r="D555" s="1100">
        <v>0.98248905538349984</v>
      </c>
      <c r="E555" s="1100">
        <v>0.99913331116640491</v>
      </c>
      <c r="F555" s="1100">
        <v>1.0052334032209782</v>
      </c>
      <c r="G555" s="1100">
        <v>1.0233136467743229</v>
      </c>
      <c r="H555" s="1100">
        <v>0.98949329914016437</v>
      </c>
      <c r="I555" s="1100">
        <v>0.95902649961765107</v>
      </c>
      <c r="K555">
        <v>1.1467324741859559</v>
      </c>
      <c r="L555">
        <v>0</v>
      </c>
      <c r="M555">
        <v>7.8629328080215375E-4</v>
      </c>
      <c r="N555">
        <v>7.2165142819350492E-2</v>
      </c>
      <c r="O555">
        <v>1.025134142770311E-2</v>
      </c>
      <c r="P555">
        <v>1.3538090365824216E-2</v>
      </c>
      <c r="Q555">
        <v>4.4475819716868937E-4</v>
      </c>
      <c r="R555">
        <v>7.8453334314132538E-4</v>
      </c>
      <c r="S555">
        <v>6.8952693248444927E-2</v>
      </c>
      <c r="T555">
        <v>0.8320221706658506</v>
      </c>
      <c r="U555">
        <v>0</v>
      </c>
      <c r="V555">
        <v>9.2685619100575503E-2</v>
      </c>
      <c r="W555">
        <v>4.7432027999540854E-2</v>
      </c>
      <c r="X555">
        <v>7.107149160473553E-3</v>
      </c>
      <c r="Y555">
        <v>2.135241138683627E-3</v>
      </c>
    </row>
    <row r="556" spans="1:25" x14ac:dyDescent="0.25">
      <c r="A556" s="1096"/>
      <c r="B556" s="1455">
        <v>306</v>
      </c>
      <c r="C556" s="1100">
        <v>0.97057795028314287</v>
      </c>
      <c r="D556" s="1100">
        <v>1.0068248558731583</v>
      </c>
      <c r="E556" s="1100">
        <v>1.005556088571504</v>
      </c>
      <c r="F556" s="1100">
        <v>0.9751007965584727</v>
      </c>
      <c r="G556" s="1100">
        <v>0.99131595662964489</v>
      </c>
      <c r="H556" s="1100">
        <v>0.97854759715995443</v>
      </c>
      <c r="I556" s="1100">
        <v>1.0336300369456459</v>
      </c>
      <c r="K556">
        <v>1.1326330957935429</v>
      </c>
      <c r="L556">
        <v>0</v>
      </c>
      <c r="M556">
        <v>7.9592160475182566E-4</v>
      </c>
      <c r="N556">
        <v>7.4478027113721493E-2</v>
      </c>
      <c r="O556">
        <v>1.0635886484719331E-2</v>
      </c>
      <c r="P556">
        <v>1.3355321872295465E-2</v>
      </c>
      <c r="Q556">
        <v>4.6442666542202964E-4</v>
      </c>
      <c r="R556">
        <v>7.9412018916358588E-4</v>
      </c>
      <c r="S556">
        <v>7.6408625046347378E-2</v>
      </c>
      <c r="T556">
        <v>0.80666754229414617</v>
      </c>
      <c r="U556">
        <v>0</v>
      </c>
      <c r="V556">
        <v>9.2476605978793536E-2</v>
      </c>
      <c r="W556">
        <v>4.8766051440660305E-2</v>
      </c>
      <c r="X556">
        <v>7.2210769397716978E-3</v>
      </c>
      <c r="Y556">
        <v>2.1613333732532782E-3</v>
      </c>
    </row>
    <row r="557" spans="1:25" x14ac:dyDescent="0.25">
      <c r="A557" s="1096"/>
      <c r="B557" s="1455">
        <v>307</v>
      </c>
      <c r="C557" s="1100">
        <v>1.0418577420248778</v>
      </c>
      <c r="D557" s="1100">
        <v>1.0054270403281809</v>
      </c>
      <c r="E557" s="1100">
        <v>0.97558501029374489</v>
      </c>
      <c r="F557" s="1100">
        <v>0.99055714673509632</v>
      </c>
      <c r="G557" s="1100">
        <v>0.97636244158477259</v>
      </c>
      <c r="H557" s="1100">
        <v>1.0021693255509421</v>
      </c>
      <c r="I557" s="1100">
        <v>0.99323622290133007</v>
      </c>
      <c r="K557">
        <v>1.1282266836385961</v>
      </c>
      <c r="L557">
        <v>0</v>
      </c>
      <c r="M557">
        <v>8.0844890600561994E-4</v>
      </c>
      <c r="N557">
        <v>6.9100538279018534E-2</v>
      </c>
      <c r="O557">
        <v>9.9043480053485292E-3</v>
      </c>
      <c r="P557">
        <v>1.3127849929437491E-2</v>
      </c>
      <c r="Q557">
        <v>4.1958203477217401E-4</v>
      </c>
      <c r="R557">
        <v>8.0666226601816299E-4</v>
      </c>
      <c r="S557">
        <v>6.9329035330243899E-2</v>
      </c>
      <c r="T557">
        <v>0.82142860470440526</v>
      </c>
      <c r="U557">
        <v>0</v>
      </c>
      <c r="V557">
        <v>9.0086013146767244E-2</v>
      </c>
      <c r="W557">
        <v>4.6064367144415995E-2</v>
      </c>
      <c r="X557">
        <v>6.572662932216965E-3</v>
      </c>
      <c r="Y557">
        <v>2.1954687719569132E-3</v>
      </c>
    </row>
    <row r="558" spans="1:25" x14ac:dyDescent="0.25">
      <c r="A558" s="1096"/>
      <c r="B558" s="1455">
        <v>308</v>
      </c>
      <c r="C558" s="1100">
        <v>0.98888954444526622</v>
      </c>
      <c r="D558" s="1100">
        <v>1.0077045303007519</v>
      </c>
      <c r="E558" s="1100">
        <v>1.0063298745483673</v>
      </c>
      <c r="F558" s="1100">
        <v>1.0118757317713849</v>
      </c>
      <c r="G558" s="1100">
        <v>0.99446321312192687</v>
      </c>
      <c r="H558" s="1100">
        <v>1.0131254182033311</v>
      </c>
      <c r="I558" s="1100">
        <v>0.99225359287449488</v>
      </c>
      <c r="K558">
        <v>1.1619645820066349</v>
      </c>
      <c r="L558">
        <v>0</v>
      </c>
      <c r="M558">
        <v>8.0720670292101923E-4</v>
      </c>
      <c r="N558">
        <v>7.5716597868705576E-2</v>
      </c>
      <c r="O558">
        <v>1.0435547801747427E-2</v>
      </c>
      <c r="P558">
        <v>1.3732607691511496E-2</v>
      </c>
      <c r="Q558">
        <v>4.5603207360675745E-4</v>
      </c>
      <c r="R558">
        <v>8.0544209946291497E-4</v>
      </c>
      <c r="S558">
        <v>7.3367632887720496E-2</v>
      </c>
      <c r="T558">
        <v>0.83703850261467327</v>
      </c>
      <c r="U558">
        <v>0</v>
      </c>
      <c r="V558">
        <v>9.2138408753102127E-2</v>
      </c>
      <c r="W558">
        <v>4.9554343215002052E-2</v>
      </c>
      <c r="X558">
        <v>7.3345258232013766E-3</v>
      </c>
      <c r="Y558">
        <v>2.1921478808213254E-3</v>
      </c>
    </row>
    <row r="559" spans="1:25" x14ac:dyDescent="0.25">
      <c r="A559" s="1096"/>
      <c r="B559" s="1455">
        <v>309</v>
      </c>
      <c r="C559" s="1100">
        <v>1.0421552585253118</v>
      </c>
      <c r="D559" s="1100">
        <v>1.0036489016673176</v>
      </c>
      <c r="E559" s="1100">
        <v>1.0224055092627844</v>
      </c>
      <c r="F559" s="1100">
        <v>0.98545567355212516</v>
      </c>
      <c r="G559" s="1100">
        <v>1.0104082229088058</v>
      </c>
      <c r="H559" s="1100">
        <v>0.98528664572003588</v>
      </c>
      <c r="I559" s="1100">
        <v>0.98917119310478385</v>
      </c>
      <c r="K559">
        <v>1.1244353276699333</v>
      </c>
      <c r="L559">
        <v>0</v>
      </c>
      <c r="M559">
        <v>7.2158285430018291E-4</v>
      </c>
      <c r="N559">
        <v>7.1045441082112304E-2</v>
      </c>
      <c r="O559">
        <v>9.9232139039912258E-3</v>
      </c>
      <c r="P559">
        <v>1.3503060350285786E-2</v>
      </c>
      <c r="Q559">
        <v>4.4065100707999346E-4</v>
      </c>
      <c r="R559">
        <v>7.199608605120239E-4</v>
      </c>
      <c r="S559">
        <v>6.8489257207057716E-2</v>
      </c>
      <c r="T559">
        <v>0.81414201240978634</v>
      </c>
      <c r="U559">
        <v>0</v>
      </c>
      <c r="V559">
        <v>9.1541217950759091E-2</v>
      </c>
      <c r="W559">
        <v>4.6060016665714576E-2</v>
      </c>
      <c r="X559">
        <v>7.3325829596545648E-3</v>
      </c>
      <c r="Y559">
        <v>1.9594961272798466E-3</v>
      </c>
    </row>
    <row r="560" spans="1:25" x14ac:dyDescent="0.25">
      <c r="A560" s="1096"/>
      <c r="B560" s="1455">
        <v>310</v>
      </c>
      <c r="C560" s="1100">
        <v>1.0185694509870098</v>
      </c>
      <c r="D560" s="1100">
        <v>0.99645444367672165</v>
      </c>
      <c r="E560" s="1100">
        <v>1.010350901249699</v>
      </c>
      <c r="F560" s="1100">
        <v>0.98739065395129366</v>
      </c>
      <c r="G560" s="1100">
        <v>0.99709652110045588</v>
      </c>
      <c r="H560" s="1100">
        <v>1.0085309393939257</v>
      </c>
      <c r="I560" s="1100">
        <v>1.0330125218368378</v>
      </c>
      <c r="K560">
        <v>1.1378774430805894</v>
      </c>
      <c r="L560">
        <v>0</v>
      </c>
      <c r="M560">
        <v>7.7712552317053135E-4</v>
      </c>
      <c r="N560">
        <v>7.3784632440151043E-2</v>
      </c>
      <c r="O560">
        <v>1.0178364044607958E-2</v>
      </c>
      <c r="P560">
        <v>1.3497476076844086E-2</v>
      </c>
      <c r="Q560">
        <v>4.465863003702796E-4</v>
      </c>
      <c r="R560">
        <v>7.7541893973982886E-4</v>
      </c>
      <c r="S560">
        <v>7.4398539853315626E-2</v>
      </c>
      <c r="T560">
        <v>0.81652230421727667</v>
      </c>
      <c r="U560">
        <v>0</v>
      </c>
      <c r="V560">
        <v>9.1521253587541845E-2</v>
      </c>
      <c r="W560">
        <v>4.8175412893350346E-2</v>
      </c>
      <c r="X560">
        <v>7.2441455133744588E-3</v>
      </c>
      <c r="Y560">
        <v>2.1104347371870276E-3</v>
      </c>
    </row>
    <row r="561" spans="1:25" x14ac:dyDescent="0.25">
      <c r="A561" s="1096"/>
      <c r="B561" s="1455">
        <v>311</v>
      </c>
      <c r="C561" s="1100">
        <v>0.98596922774872175</v>
      </c>
      <c r="D561" s="1100">
        <v>0.97109383897054613</v>
      </c>
      <c r="E561" s="1100">
        <v>0.95808838437747057</v>
      </c>
      <c r="F561" s="1100">
        <v>0.99264611974534944</v>
      </c>
      <c r="G561" s="1100">
        <v>1.0086838064452697</v>
      </c>
      <c r="H561" s="1100">
        <v>1.0029181319686069</v>
      </c>
      <c r="I561" s="1100">
        <v>1.0237905681556729</v>
      </c>
      <c r="K561">
        <v>1.1490499913459782</v>
      </c>
      <c r="L561">
        <v>0</v>
      </c>
      <c r="M561">
        <v>8.9874580376262943E-4</v>
      </c>
      <c r="N561">
        <v>7.2853951584096369E-2</v>
      </c>
      <c r="O561">
        <v>1.0606386289114809E-2</v>
      </c>
      <c r="P561">
        <v>1.3126440744972346E-2</v>
      </c>
      <c r="Q561">
        <v>4.4134501192053487E-4</v>
      </c>
      <c r="R561">
        <v>8.9676109416214123E-4</v>
      </c>
      <c r="S561">
        <v>7.6882278685314123E-2</v>
      </c>
      <c r="T561">
        <v>0.8243293755864054</v>
      </c>
      <c r="U561">
        <v>0</v>
      </c>
      <c r="V561">
        <v>9.2814048031269455E-2</v>
      </c>
      <c r="W561">
        <v>4.9087768401456115E-2</v>
      </c>
      <c r="X561">
        <v>6.4696936399353741E-3</v>
      </c>
      <c r="Y561">
        <v>2.4406880810941066E-3</v>
      </c>
    </row>
    <row r="562" spans="1:25" x14ac:dyDescent="0.25">
      <c r="A562" s="1096"/>
      <c r="B562" s="1455">
        <v>312</v>
      </c>
      <c r="C562" s="1100">
        <v>1.0246482501291481</v>
      </c>
      <c r="D562" s="1100">
        <v>0.97432386270902172</v>
      </c>
      <c r="E562" s="1100">
        <v>0.98598415656535399</v>
      </c>
      <c r="F562" s="1100">
        <v>0.96176130659314873</v>
      </c>
      <c r="G562" s="1100">
        <v>1.0429036331069492</v>
      </c>
      <c r="H562" s="1100">
        <v>0.9827904546342997</v>
      </c>
      <c r="I562" s="1100">
        <v>1.0032283523801002</v>
      </c>
      <c r="K562">
        <v>1.1114568683761499</v>
      </c>
      <c r="L562">
        <v>0</v>
      </c>
      <c r="M562">
        <v>7.9895998362028225E-4</v>
      </c>
      <c r="N562">
        <v>7.0469126698819134E-2</v>
      </c>
      <c r="O562">
        <v>1.0201425829489671E-2</v>
      </c>
      <c r="P562">
        <v>1.2975307886195045E-2</v>
      </c>
      <c r="Q562">
        <v>4.3675735291893563E-4</v>
      </c>
      <c r="R562">
        <v>7.971594979215707E-4</v>
      </c>
      <c r="S562">
        <v>7.1593112117886534E-2</v>
      </c>
      <c r="T562">
        <v>0.79688102322998144</v>
      </c>
      <c r="U562">
        <v>0</v>
      </c>
      <c r="V562">
        <v>9.3332289581623984E-2</v>
      </c>
      <c r="W562">
        <v>4.6682833782780569E-2</v>
      </c>
      <c r="X562">
        <v>6.7171870123670877E-3</v>
      </c>
      <c r="Y562">
        <v>2.1696053697846502E-3</v>
      </c>
    </row>
    <row r="563" spans="1:25" x14ac:dyDescent="0.25">
      <c r="A563" s="1096"/>
      <c r="B563" s="1455">
        <v>313</v>
      </c>
      <c r="C563" s="1100">
        <v>1.0307117113567257</v>
      </c>
      <c r="D563" s="1100">
        <v>0.99372364182536976</v>
      </c>
      <c r="E563" s="1100">
        <v>0.99185551240624892</v>
      </c>
      <c r="F563" s="1100">
        <v>0.96254053720973642</v>
      </c>
      <c r="G563" s="1100">
        <v>0.95734221820340037</v>
      </c>
      <c r="H563" s="1100">
        <v>1.003173204004536</v>
      </c>
      <c r="I563" s="1100">
        <v>1.0246517424150836</v>
      </c>
      <c r="K563">
        <v>1.1103564247175086</v>
      </c>
      <c r="L563">
        <v>0</v>
      </c>
      <c r="M563">
        <v>7.9464397131800274E-4</v>
      </c>
      <c r="N563">
        <v>7.1347120249064561E-2</v>
      </c>
      <c r="O563">
        <v>1.0063616603546644E-2</v>
      </c>
      <c r="P563">
        <v>1.3001269205728709E-2</v>
      </c>
      <c r="Q563">
        <v>4.3342337294280549E-4</v>
      </c>
      <c r="R563">
        <v>7.92889597054383E-4</v>
      </c>
      <c r="S563">
        <v>7.279076976002552E-2</v>
      </c>
      <c r="T563">
        <v>0.79715048773588526</v>
      </c>
      <c r="U563">
        <v>0</v>
      </c>
      <c r="V563">
        <v>8.9532146056607559E-2</v>
      </c>
      <c r="W563">
        <v>4.709837452297979E-2</v>
      </c>
      <c r="X563">
        <v>6.78298747779467E-3</v>
      </c>
      <c r="Y563">
        <v>2.1579841071966079E-3</v>
      </c>
    </row>
    <row r="564" spans="1:25" x14ac:dyDescent="0.25">
      <c r="A564" s="1096"/>
      <c r="B564" s="1455">
        <v>314</v>
      </c>
      <c r="C564" s="1100">
        <v>1.0016208498696819</v>
      </c>
      <c r="D564" s="1100">
        <v>1.0038063211150683</v>
      </c>
      <c r="E564" s="1100">
        <v>0.977517406736091</v>
      </c>
      <c r="F564" s="1100">
        <v>1.0003169895869743</v>
      </c>
      <c r="G564" s="1100">
        <v>0.97035797400254453</v>
      </c>
      <c r="H564" s="1100">
        <v>1.0036378039761367</v>
      </c>
      <c r="I564" s="1100">
        <v>0.98770879335321526</v>
      </c>
      <c r="K564">
        <v>1.1452842944501251</v>
      </c>
      <c r="L564">
        <v>0</v>
      </c>
      <c r="M564">
        <v>8.3934289143829739E-4</v>
      </c>
      <c r="N564">
        <v>7.2162163142778735E-2</v>
      </c>
      <c r="O564">
        <v>1.0309501656118866E-2</v>
      </c>
      <c r="P564">
        <v>1.3296923162376796E-2</v>
      </c>
      <c r="Q564">
        <v>4.3760602813835308E-4</v>
      </c>
      <c r="R564">
        <v>8.3749069099827561E-4</v>
      </c>
      <c r="S564">
        <v>7.1833200586873008E-2</v>
      </c>
      <c r="T564">
        <v>0.82939260277774141</v>
      </c>
      <c r="U564">
        <v>0</v>
      </c>
      <c r="V564">
        <v>9.0784694924241821E-2</v>
      </c>
      <c r="W564">
        <v>4.8049081248546427E-2</v>
      </c>
      <c r="X564">
        <v>6.740999541584523E-3</v>
      </c>
      <c r="Y564">
        <v>2.2793735821652161E-3</v>
      </c>
    </row>
    <row r="565" spans="1:25" x14ac:dyDescent="0.25">
      <c r="A565" s="1096"/>
      <c r="B565" s="1455">
        <v>315</v>
      </c>
      <c r="C565" s="1100">
        <v>1.0234783495143307</v>
      </c>
      <c r="D565" s="1100">
        <v>0.95888833549078856</v>
      </c>
      <c r="E565" s="1100">
        <v>0.99960236524097712</v>
      </c>
      <c r="F565" s="1100">
        <v>0.99431137724174801</v>
      </c>
      <c r="G565" s="1100">
        <v>0.97672866016770299</v>
      </c>
      <c r="H565" s="1100">
        <v>0.99013718300780695</v>
      </c>
      <c r="I565" s="1100">
        <v>1.0245287791515061</v>
      </c>
      <c r="K565">
        <v>1.1411115669057905</v>
      </c>
      <c r="L565">
        <v>0</v>
      </c>
      <c r="M565">
        <v>7.8845232570457695E-4</v>
      </c>
      <c r="N565">
        <v>7.246602778909611E-2</v>
      </c>
      <c r="O565">
        <v>1.0282956819835459E-2</v>
      </c>
      <c r="P565">
        <v>1.3460382969114134E-2</v>
      </c>
      <c r="Q565">
        <v>4.4634030857870045E-4</v>
      </c>
      <c r="R565">
        <v>7.8668870314144992E-4</v>
      </c>
      <c r="S565">
        <v>7.4122071979392856E-2</v>
      </c>
      <c r="T565">
        <v>0.82295122666253162</v>
      </c>
      <c r="U565">
        <v>0</v>
      </c>
      <c r="V565">
        <v>9.0532168665424129E-2</v>
      </c>
      <c r="W565">
        <v>4.7616507837393393E-2</v>
      </c>
      <c r="X565">
        <v>7.0945401788971773E-3</v>
      </c>
      <c r="Y565">
        <v>2.1411073180897331E-3</v>
      </c>
    </row>
    <row r="566" spans="1:25" x14ac:dyDescent="0.25">
      <c r="A566" s="1096"/>
      <c r="B566" s="1455">
        <v>316</v>
      </c>
      <c r="C566" s="1100">
        <v>0.99381603891549952</v>
      </c>
      <c r="D566" s="1100">
        <v>0.99402178013068121</v>
      </c>
      <c r="E566" s="1100">
        <v>1.0181053655221914</v>
      </c>
      <c r="F566" s="1100">
        <v>1.040992494492142</v>
      </c>
      <c r="G566" s="1100">
        <v>0.96405064156469134</v>
      </c>
      <c r="H566" s="1100">
        <v>1.0345853334862705</v>
      </c>
      <c r="I566" s="1100">
        <v>1.0022788004777916</v>
      </c>
      <c r="K566">
        <v>1.1902073090158816</v>
      </c>
      <c r="L566">
        <v>0</v>
      </c>
      <c r="M566">
        <v>8.0477886250643576E-4</v>
      </c>
      <c r="N566">
        <v>7.8223882171171391E-2</v>
      </c>
      <c r="O566">
        <v>1.044465105211633E-2</v>
      </c>
      <c r="P566">
        <v>1.4179273557895869E-2</v>
      </c>
      <c r="Q566">
        <v>4.6182774154389031E-4</v>
      </c>
      <c r="R566">
        <v>8.0305605870430825E-4</v>
      </c>
      <c r="S566">
        <v>7.5157000796241852E-2</v>
      </c>
      <c r="T566">
        <v>0.86031761891742242</v>
      </c>
      <c r="U566">
        <v>0</v>
      </c>
      <c r="V566">
        <v>9.0716223199313772E-2</v>
      </c>
      <c r="W566">
        <v>5.0841648790117648E-2</v>
      </c>
      <c r="X566">
        <v>7.6812517294244055E-3</v>
      </c>
      <c r="Y566">
        <v>2.1856538644345219E-3</v>
      </c>
    </row>
    <row r="567" spans="1:25" x14ac:dyDescent="0.25">
      <c r="A567" s="1096"/>
      <c r="B567" s="1455">
        <v>317</v>
      </c>
      <c r="C567" s="1100">
        <v>0.99447577569785595</v>
      </c>
      <c r="D567" s="1100">
        <v>1.030816105955908</v>
      </c>
      <c r="E567" s="1100">
        <v>1.0060576460858861</v>
      </c>
      <c r="F567" s="1100">
        <v>0.97118970118020853</v>
      </c>
      <c r="G567" s="1100">
        <v>0.98854093453993297</v>
      </c>
      <c r="H567" s="1100">
        <v>1.0273406013965358</v>
      </c>
      <c r="I567" s="1100">
        <v>0.97631925202696634</v>
      </c>
      <c r="K567">
        <v>1.1251052675081108</v>
      </c>
      <c r="L567">
        <v>0</v>
      </c>
      <c r="M567">
        <v>8.0704148068500546E-4</v>
      </c>
      <c r="N567">
        <v>7.5641185551795609E-2</v>
      </c>
      <c r="O567">
        <v>1.0283143409172531E-2</v>
      </c>
      <c r="P567">
        <v>1.3238449427387137E-2</v>
      </c>
      <c r="Q567">
        <v>4.4924949331664609E-4</v>
      </c>
      <c r="R567">
        <v>8.0530165001215274E-4</v>
      </c>
      <c r="S567">
        <v>7.1515992495509689E-2</v>
      </c>
      <c r="T567">
        <v>0.80339986963897003</v>
      </c>
      <c r="U567">
        <v>0</v>
      </c>
      <c r="V567">
        <v>9.1744401195163236E-2</v>
      </c>
      <c r="W567">
        <v>4.9512959402101472E-2</v>
      </c>
      <c r="X567">
        <v>7.1299911016513787E-3</v>
      </c>
      <c r="Y567">
        <v>2.1917656237154981E-3</v>
      </c>
    </row>
    <row r="568" spans="1:25" x14ac:dyDescent="0.25">
      <c r="A568" s="1096"/>
      <c r="B568" s="1455">
        <v>318</v>
      </c>
      <c r="C568" s="1100">
        <v>0.97469927137020451</v>
      </c>
      <c r="D568" s="1100">
        <v>0.98771718932281283</v>
      </c>
      <c r="E568" s="1100">
        <v>1.025813766453771</v>
      </c>
      <c r="F568" s="1100">
        <v>1.0357035968260413</v>
      </c>
      <c r="G568" s="1100">
        <v>1.0131445997045274</v>
      </c>
      <c r="H568" s="1100">
        <v>1.0253224227736948</v>
      </c>
      <c r="I568" s="1100">
        <v>0.99880266252089445</v>
      </c>
      <c r="K568">
        <v>1.191877321845376</v>
      </c>
      <c r="L568">
        <v>0</v>
      </c>
      <c r="M568">
        <v>8.0231304472603367E-4</v>
      </c>
      <c r="N568">
        <v>7.9817133214926561E-2</v>
      </c>
      <c r="O568">
        <v>1.0679250255312923E-2</v>
      </c>
      <c r="P568">
        <v>1.4242557160726792E-2</v>
      </c>
      <c r="Q568">
        <v>4.7582951185199735E-4</v>
      </c>
      <c r="R568">
        <v>8.0058000317164086E-4</v>
      </c>
      <c r="S568">
        <v>7.6235493954996028E-2</v>
      </c>
      <c r="T568">
        <v>0.85542379129211699</v>
      </c>
      <c r="U568">
        <v>0</v>
      </c>
      <c r="V568">
        <v>9.3305115677064648E-2</v>
      </c>
      <c r="W568">
        <v>5.1644110922180499E-2</v>
      </c>
      <c r="X568">
        <v>7.8768580402466155E-3</v>
      </c>
      <c r="Y568">
        <v>2.1789148575060893E-3</v>
      </c>
    </row>
    <row r="569" spans="1:25" x14ac:dyDescent="0.25">
      <c r="A569" s="1096"/>
      <c r="B569" s="1455">
        <v>319</v>
      </c>
      <c r="C569" s="1100">
        <v>0.97765408995432257</v>
      </c>
      <c r="D569" s="1100">
        <v>1.0236642547213095</v>
      </c>
      <c r="E569" s="1100">
        <v>1.0124760170130298</v>
      </c>
      <c r="F569" s="1100">
        <v>1.0011968771141393</v>
      </c>
      <c r="G569" s="1100">
        <v>1.0291291655502002</v>
      </c>
      <c r="H569" s="1100">
        <v>1.0220714596317109</v>
      </c>
      <c r="I569" s="1100">
        <v>1.0180878804366669</v>
      </c>
      <c r="K569">
        <v>1.1595264160664369</v>
      </c>
      <c r="L569">
        <v>0</v>
      </c>
      <c r="M569">
        <v>8.0814780814305654E-4</v>
      </c>
      <c r="N569">
        <v>7.722612261579527E-2</v>
      </c>
      <c r="O569">
        <v>1.0491379526764615E-2</v>
      </c>
      <c r="P569">
        <v>1.3727626925391466E-2</v>
      </c>
      <c r="Q569">
        <v>4.6129833567665803E-4</v>
      </c>
      <c r="R569">
        <v>8.0639661069346327E-4</v>
      </c>
      <c r="S569">
        <v>7.5915740994737954E-2</v>
      </c>
      <c r="T569">
        <v>0.82779928053195861</v>
      </c>
      <c r="U569">
        <v>0</v>
      </c>
      <c r="V569">
        <v>9.3909295556261083E-2</v>
      </c>
      <c r="W569">
        <v>5.0359352294577539E-2</v>
      </c>
      <c r="X569">
        <v>7.4433247369860176E-3</v>
      </c>
      <c r="Y569">
        <v>2.1947457457363348E-3</v>
      </c>
    </row>
    <row r="570" spans="1:25" x14ac:dyDescent="0.25">
      <c r="A570" s="1096"/>
      <c r="B570" s="1455">
        <v>320</v>
      </c>
      <c r="C570" s="1100">
        <v>1.0179292768995836</v>
      </c>
      <c r="D570" s="1100">
        <v>1.0110256747265176</v>
      </c>
      <c r="E570" s="1100">
        <v>0.98375224685782447</v>
      </c>
      <c r="F570" s="1100">
        <v>1.0099115513707222</v>
      </c>
      <c r="G570" s="1100">
        <v>1.0026791375798403</v>
      </c>
      <c r="H570" s="1100">
        <v>0.97346538370399571</v>
      </c>
      <c r="I570" s="1100">
        <v>0.96581523441058303</v>
      </c>
      <c r="K570">
        <v>1.1442416224454275</v>
      </c>
      <c r="L570">
        <v>0</v>
      </c>
      <c r="M570">
        <v>7.8854074761185384E-4</v>
      </c>
      <c r="N570">
        <v>6.9080721440882703E-2</v>
      </c>
      <c r="O570">
        <v>1.0117283978994418E-2</v>
      </c>
      <c r="P570">
        <v>1.3419239949002746E-2</v>
      </c>
      <c r="Q570">
        <v>4.3217610564931589E-4</v>
      </c>
      <c r="R570">
        <v>7.8674671965915069E-4</v>
      </c>
      <c r="S570">
        <v>6.7709654720500445E-2</v>
      </c>
      <c r="T570">
        <v>0.83692692577692518</v>
      </c>
      <c r="U570">
        <v>0</v>
      </c>
      <c r="V570">
        <v>9.1771519543109345E-2</v>
      </c>
      <c r="W570">
        <v>4.5824551471194908E-2</v>
      </c>
      <c r="X570">
        <v>6.8200782671947501E-3</v>
      </c>
      <c r="Y570">
        <v>2.1412652199257745E-3</v>
      </c>
    </row>
    <row r="571" spans="1:25" x14ac:dyDescent="0.25">
      <c r="A571" s="1096"/>
      <c r="B571" s="1455">
        <v>321</v>
      </c>
      <c r="C571" s="1100">
        <v>1.0164743862257251</v>
      </c>
      <c r="D571" s="1100">
        <v>0.99360526230908575</v>
      </c>
      <c r="E571" s="1100">
        <v>0.98653762029741221</v>
      </c>
      <c r="F571" s="1100">
        <v>1.0099969998324687</v>
      </c>
      <c r="G571" s="1100">
        <v>0.96610136397182</v>
      </c>
      <c r="H571" s="1100">
        <v>1.0162928569190843</v>
      </c>
      <c r="I571" s="1100">
        <v>0.97094256512890764</v>
      </c>
      <c r="K571">
        <v>1.1519740289762432</v>
      </c>
      <c r="L571">
        <v>0</v>
      </c>
      <c r="M571">
        <v>8.2539074776834676E-4</v>
      </c>
      <c r="N571">
        <v>7.2927734827641658E-2</v>
      </c>
      <c r="O571">
        <v>1.0203345915293673E-2</v>
      </c>
      <c r="P571">
        <v>1.3462369123080593E-2</v>
      </c>
      <c r="Q571">
        <v>4.3708451245821726E-4</v>
      </c>
      <c r="R571">
        <v>8.2359201643044267E-4</v>
      </c>
      <c r="S571">
        <v>7.0450735932775357E-2</v>
      </c>
      <c r="T571">
        <v>0.83681013672474824</v>
      </c>
      <c r="U571">
        <v>0</v>
      </c>
      <c r="V571">
        <v>9.0242578610373603E-2</v>
      </c>
      <c r="W571">
        <v>4.8295495401489134E-2</v>
      </c>
      <c r="X571">
        <v>6.9048006880323629E-3</v>
      </c>
      <c r="Y571">
        <v>2.2415459716884148E-3</v>
      </c>
    </row>
    <row r="572" spans="1:25" x14ac:dyDescent="0.25">
      <c r="A572" s="1096"/>
      <c r="B572" s="1455">
        <v>322</v>
      </c>
      <c r="C572" s="1100">
        <v>1.0196870056576526</v>
      </c>
      <c r="D572" s="1100">
        <v>1.0100559941216363</v>
      </c>
      <c r="E572" s="1100">
        <v>0.98473072386619731</v>
      </c>
      <c r="F572" s="1100">
        <v>1.0059370953622848</v>
      </c>
      <c r="G572" s="1100">
        <v>0.99130488845261988</v>
      </c>
      <c r="H572" s="1100">
        <v>0.99525224801996448</v>
      </c>
      <c r="I572" s="1100">
        <v>0.99566099535921138</v>
      </c>
      <c r="K572">
        <v>1.1457645756276849</v>
      </c>
      <c r="L572">
        <v>0</v>
      </c>
      <c r="M572">
        <v>8.0347971325163013E-4</v>
      </c>
      <c r="N572">
        <v>7.06016194952441E-2</v>
      </c>
      <c r="O572">
        <v>1.0104033242404402E-2</v>
      </c>
      <c r="P572">
        <v>1.3415510375275292E-2</v>
      </c>
      <c r="Q572">
        <v>4.3203852599472785E-4</v>
      </c>
      <c r="R572">
        <v>8.0169171402516646E-4</v>
      </c>
      <c r="S572">
        <v>7.0579041988639055E-2</v>
      </c>
      <c r="T572">
        <v>0.83356757550571825</v>
      </c>
      <c r="U572">
        <v>0</v>
      </c>
      <c r="V572">
        <v>9.1243287757728567E-2</v>
      </c>
      <c r="W572">
        <v>4.68058664788416E-2</v>
      </c>
      <c r="X572">
        <v>6.8354496890896217E-3</v>
      </c>
      <c r="Y572">
        <v>2.181940567974001E-3</v>
      </c>
    </row>
    <row r="573" spans="1:25" x14ac:dyDescent="0.25">
      <c r="A573" s="1096"/>
      <c r="B573" s="1455">
        <v>323</v>
      </c>
      <c r="C573" s="1100">
        <v>0.97614793599339567</v>
      </c>
      <c r="D573" s="1100">
        <v>1.0220950493333771</v>
      </c>
      <c r="E573" s="1100">
        <v>0.98341746285086307</v>
      </c>
      <c r="F573" s="1100">
        <v>0.99935931840767378</v>
      </c>
      <c r="G573" s="1100">
        <v>0.99336941176269244</v>
      </c>
      <c r="H573" s="1100">
        <v>0.97375364331232783</v>
      </c>
      <c r="I573" s="1100">
        <v>1.0085593846100074</v>
      </c>
      <c r="K573">
        <v>1.1467066826008752</v>
      </c>
      <c r="L573">
        <v>0</v>
      </c>
      <c r="M573">
        <v>8.195281301546809E-4</v>
      </c>
      <c r="N573">
        <v>7.1722774804302614E-2</v>
      </c>
      <c r="O573">
        <v>1.0504361922648205E-2</v>
      </c>
      <c r="P573">
        <v>1.3382873848144254E-2</v>
      </c>
      <c r="Q573">
        <v>4.485584099047442E-4</v>
      </c>
      <c r="R573">
        <v>8.1766415402026785E-4</v>
      </c>
      <c r="S573">
        <v>7.333228065621962E-2</v>
      </c>
      <c r="T573">
        <v>0.82820448002618396</v>
      </c>
      <c r="U573">
        <v>0</v>
      </c>
      <c r="V573">
        <v>9.2415157032306225E-2</v>
      </c>
      <c r="W573">
        <v>4.7586743447370385E-2</v>
      </c>
      <c r="X573">
        <v>6.8859041456010945E-3</v>
      </c>
      <c r="Y573">
        <v>2.2254122843272371E-3</v>
      </c>
    </row>
    <row r="574" spans="1:25" x14ac:dyDescent="0.25">
      <c r="A574" s="1096"/>
      <c r="B574" s="1455">
        <v>324</v>
      </c>
      <c r="C574" s="1100">
        <v>0.98147179862729772</v>
      </c>
      <c r="D574" s="1100">
        <v>1.0430512197569972</v>
      </c>
      <c r="E574" s="1100">
        <v>1.01866019759975</v>
      </c>
      <c r="F574" s="1100">
        <v>0.95374853582304731</v>
      </c>
      <c r="G574" s="1100">
        <v>1.0072592335167365</v>
      </c>
      <c r="H574" s="1100">
        <v>1.0024539626178353</v>
      </c>
      <c r="I574" s="1100">
        <v>0.96827822611534831</v>
      </c>
      <c r="K574">
        <v>1.1091564190487277</v>
      </c>
      <c r="L574">
        <v>0</v>
      </c>
      <c r="M574">
        <v>7.7363788261202641E-4</v>
      </c>
      <c r="N574">
        <v>7.5317809336485089E-2</v>
      </c>
      <c r="O574">
        <v>1.0374468463392069E-2</v>
      </c>
      <c r="P574">
        <v>1.3153074533959702E-2</v>
      </c>
      <c r="Q574">
        <v>4.5897782075061575E-4</v>
      </c>
      <c r="R574">
        <v>7.7192865905956589E-4</v>
      </c>
      <c r="S574">
        <v>7.0467068970339927E-2</v>
      </c>
      <c r="T574">
        <v>0.78818102163017745</v>
      </c>
      <c r="U574">
        <v>0</v>
      </c>
      <c r="V574">
        <v>9.287685498229066E-2</v>
      </c>
      <c r="W574">
        <v>4.8936937357931518E-2</v>
      </c>
      <c r="X574">
        <v>7.2909798332071044E-3</v>
      </c>
      <c r="Y574">
        <v>2.1009353437460689E-3</v>
      </c>
    </row>
    <row r="575" spans="1:25" x14ac:dyDescent="0.25">
      <c r="A575" s="1096"/>
      <c r="B575" s="1455">
        <v>325</v>
      </c>
      <c r="C575" s="1100">
        <v>1.0047237956904409</v>
      </c>
      <c r="D575" s="1100">
        <v>1.0084591852429456</v>
      </c>
      <c r="E575" s="1100">
        <v>0.98906892038420646</v>
      </c>
      <c r="F575" s="1100">
        <v>0.96815925132510938</v>
      </c>
      <c r="G575" s="1100">
        <v>0.99092591271623431</v>
      </c>
      <c r="H575" s="1100">
        <v>1.0409469035160941</v>
      </c>
      <c r="I575" s="1100">
        <v>0.97733991476622251</v>
      </c>
      <c r="K575">
        <v>1.1237339125853236</v>
      </c>
      <c r="L575">
        <v>0</v>
      </c>
      <c r="M575">
        <v>8.4579532180094688E-4</v>
      </c>
      <c r="N575">
        <v>7.5308701682963039E-2</v>
      </c>
      <c r="O575">
        <v>1.0262408483621309E-2</v>
      </c>
      <c r="P575">
        <v>1.3058865137036871E-2</v>
      </c>
      <c r="Q575">
        <v>4.4074219010117036E-4</v>
      </c>
      <c r="R575">
        <v>8.4399577859224748E-4</v>
      </c>
      <c r="S575">
        <v>7.2176106065175771E-2</v>
      </c>
      <c r="T575">
        <v>0.80198320205001672</v>
      </c>
      <c r="U575">
        <v>0</v>
      </c>
      <c r="V575">
        <v>9.158957488431814E-2</v>
      </c>
      <c r="W575">
        <v>4.9796560913165103E-2</v>
      </c>
      <c r="X575">
        <v>6.8224724359396138E-3</v>
      </c>
      <c r="Y575">
        <v>2.2970782861944593E-3</v>
      </c>
    </row>
    <row r="576" spans="1:25" x14ac:dyDescent="0.25">
      <c r="A576" s="1096"/>
      <c r="B576" s="1455">
        <v>326</v>
      </c>
      <c r="C576" s="1100">
        <v>0.98154074549061887</v>
      </c>
      <c r="D576" s="1100">
        <v>1.0147032877458819</v>
      </c>
      <c r="E576" s="1100">
        <v>1.0246768068825172</v>
      </c>
      <c r="F576" s="1100">
        <v>1.0249811565532432</v>
      </c>
      <c r="G576" s="1100">
        <v>1.0409913391670655</v>
      </c>
      <c r="H576" s="1100">
        <v>1.0288523041454822</v>
      </c>
      <c r="I576" s="1100">
        <v>0.96747537667853867</v>
      </c>
      <c r="K576">
        <v>1.1778435355287944</v>
      </c>
      <c r="L576">
        <v>0</v>
      </c>
      <c r="M576">
        <v>7.9276478274839253E-4</v>
      </c>
      <c r="N576">
        <v>7.8597875275259604E-2</v>
      </c>
      <c r="O576">
        <v>1.0490708680994425E-2</v>
      </c>
      <c r="P576">
        <v>1.4070519286412047E-2</v>
      </c>
      <c r="Q576">
        <v>4.6690225145232836E-4</v>
      </c>
      <c r="R576">
        <v>7.9105824109728707E-4</v>
      </c>
      <c r="S576">
        <v>7.2464588759670628E-2</v>
      </c>
      <c r="T576">
        <v>0.84664395227196032</v>
      </c>
      <c r="U576">
        <v>0</v>
      </c>
      <c r="V576">
        <v>9.4317726116338305E-2</v>
      </c>
      <c r="W576">
        <v>5.0888913946590564E-2</v>
      </c>
      <c r="X576">
        <v>7.7510557217787832E-3</v>
      </c>
      <c r="Y576">
        <v>2.1529997599877221E-3</v>
      </c>
    </row>
    <row r="577" spans="1:25" x14ac:dyDescent="0.25">
      <c r="A577" s="1096"/>
      <c r="B577" s="1455">
        <v>327</v>
      </c>
      <c r="C577" s="1100">
        <v>0.97170131805765891</v>
      </c>
      <c r="D577" s="1100">
        <v>0.99908220799537717</v>
      </c>
      <c r="E577" s="1100">
        <v>1.0029967637007062</v>
      </c>
      <c r="F577" s="1100">
        <v>0.99452139152373042</v>
      </c>
      <c r="G577" s="1100">
        <v>0.95661359131952572</v>
      </c>
      <c r="H577" s="1100">
        <v>0.99281524645190278</v>
      </c>
      <c r="I577" s="1100">
        <v>1.0325071882025185</v>
      </c>
      <c r="K577">
        <v>1.1502081928849421</v>
      </c>
      <c r="L577">
        <v>0</v>
      </c>
      <c r="M577">
        <v>8.1339707395009354E-4</v>
      </c>
      <c r="N577">
        <v>7.5529673138046427E-2</v>
      </c>
      <c r="O577">
        <v>1.0655583421731778E-2</v>
      </c>
      <c r="P577">
        <v>1.3541208913000298E-2</v>
      </c>
      <c r="Q577">
        <v>4.6409412355466782E-4</v>
      </c>
      <c r="R577">
        <v>8.1158256236345489E-4</v>
      </c>
      <c r="S577">
        <v>7.7154744403732475E-2</v>
      </c>
      <c r="T577">
        <v>0.8229016949438257</v>
      </c>
      <c r="U577">
        <v>0</v>
      </c>
      <c r="V577">
        <v>9.0963077003367088E-2</v>
      </c>
      <c r="W577">
        <v>4.9529668744885791E-2</v>
      </c>
      <c r="X577">
        <v>7.261402507751649E-3</v>
      </c>
      <c r="Y577">
        <v>2.2088601966335436E-3</v>
      </c>
    </row>
    <row r="578" spans="1:25" x14ac:dyDescent="0.25">
      <c r="A578" s="1096"/>
      <c r="B578" s="1455">
        <v>328</v>
      </c>
      <c r="C578" s="1100">
        <v>1.0321175619151166</v>
      </c>
      <c r="D578" s="1100">
        <v>1.0381319243855074</v>
      </c>
      <c r="E578" s="1100">
        <v>1.0009382478321538</v>
      </c>
      <c r="F578" s="1100">
        <v>1.0339456890920511</v>
      </c>
      <c r="G578" s="1100">
        <v>1.0346585994944859</v>
      </c>
      <c r="H578" s="1100">
        <v>0.9783448404988061</v>
      </c>
      <c r="I578" s="1100">
        <v>1.0250411143464613</v>
      </c>
      <c r="K578">
        <v>1.1660772038436589</v>
      </c>
      <c r="L578">
        <v>0</v>
      </c>
      <c r="M578">
        <v>7.4631852543026174E-4</v>
      </c>
      <c r="N578">
        <v>6.8869079319657481E-2</v>
      </c>
      <c r="O578">
        <v>9.8785237584177125E-3</v>
      </c>
      <c r="P578">
        <v>1.3896546710267157E-2</v>
      </c>
      <c r="Q578">
        <v>4.2936162893741903E-4</v>
      </c>
      <c r="R578">
        <v>7.4462902681222921E-4</v>
      </c>
      <c r="S578">
        <v>7.0129456643922269E-2</v>
      </c>
      <c r="T578">
        <v>0.85566350826769522</v>
      </c>
      <c r="U578">
        <v>0</v>
      </c>
      <c r="V578">
        <v>9.2806347690064392E-2</v>
      </c>
      <c r="W578">
        <v>4.5217090763790671E-2</v>
      </c>
      <c r="X578">
        <v>7.1623438154348558E-3</v>
      </c>
      <c r="Y578">
        <v>2.0266347440901695E-3</v>
      </c>
    </row>
    <row r="579" spans="1:25" x14ac:dyDescent="0.25">
      <c r="A579" s="1096"/>
      <c r="B579" s="1455">
        <v>329</v>
      </c>
      <c r="C579" s="1100">
        <v>0.97266714248972419</v>
      </c>
      <c r="D579" s="1100">
        <v>1.0099556909271739</v>
      </c>
      <c r="E579" s="1100">
        <v>0.99721797879326213</v>
      </c>
      <c r="F579" s="1100">
        <v>1.025708873283647</v>
      </c>
      <c r="G579" s="1100">
        <v>1.0108700874420238</v>
      </c>
      <c r="H579" s="1100">
        <v>0.98933118880531179</v>
      </c>
      <c r="I579" s="1100">
        <v>0.95701280134649691</v>
      </c>
      <c r="K579">
        <v>1.1710081083361976</v>
      </c>
      <c r="L579">
        <v>0</v>
      </c>
      <c r="M579">
        <v>8.1596200631019959E-4</v>
      </c>
      <c r="N579">
        <v>7.4455922612243902E-2</v>
      </c>
      <c r="O579">
        <v>1.0597074082768117E-2</v>
      </c>
      <c r="P579">
        <v>1.3785309731472467E-2</v>
      </c>
      <c r="Q579">
        <v>4.588727436073153E-4</v>
      </c>
      <c r="R579">
        <v>8.1413536273136676E-4</v>
      </c>
      <c r="S579">
        <v>7.0900703678396002E-2</v>
      </c>
      <c r="T579">
        <v>0.84909970355792985</v>
      </c>
      <c r="U579">
        <v>0</v>
      </c>
      <c r="V579">
        <v>9.3256399247869354E-2</v>
      </c>
      <c r="W579">
        <v>4.8993511511459496E-2</v>
      </c>
      <c r="X579">
        <v>7.2466297363256559E-3</v>
      </c>
      <c r="Y579">
        <v>2.2158080777045842E-3</v>
      </c>
    </row>
    <row r="580" spans="1:25" x14ac:dyDescent="0.25">
      <c r="A580" s="1096"/>
      <c r="B580" s="1455">
        <v>330</v>
      </c>
      <c r="C580" s="1100">
        <v>0.98414509502161329</v>
      </c>
      <c r="D580" s="1100">
        <v>0.99386566142029986</v>
      </c>
      <c r="E580" s="1100">
        <v>1.0028278892615898</v>
      </c>
      <c r="F580" s="1100">
        <v>0.96154891055536484</v>
      </c>
      <c r="G580" s="1100">
        <v>0.99112688780005231</v>
      </c>
      <c r="H580" s="1100">
        <v>0.99904844213711008</v>
      </c>
      <c r="I580" s="1100">
        <v>0.99340699509131292</v>
      </c>
      <c r="K580">
        <v>1.1194258162114883</v>
      </c>
      <c r="L580">
        <v>0</v>
      </c>
      <c r="M580">
        <v>8.1013238019511224E-4</v>
      </c>
      <c r="N580">
        <v>7.5189209010392943E-2</v>
      </c>
      <c r="O580">
        <v>1.0542849049379216E-2</v>
      </c>
      <c r="P580">
        <v>1.3136154887744098E-2</v>
      </c>
      <c r="Q580">
        <v>4.5910626778971508E-4</v>
      </c>
      <c r="R580">
        <v>8.0833642696855708E-4</v>
      </c>
      <c r="S580">
        <v>7.374819762451762E-2</v>
      </c>
      <c r="T580">
        <v>0.79562984896648004</v>
      </c>
      <c r="U580">
        <v>0</v>
      </c>
      <c r="V580">
        <v>9.2116035468012808E-2</v>
      </c>
      <c r="W580">
        <v>4.9311342254507923E-2</v>
      </c>
      <c r="X580">
        <v>7.094843349713627E-3</v>
      </c>
      <c r="Y580">
        <v>2.2000252861768769E-3</v>
      </c>
    </row>
    <row r="581" spans="1:25" x14ac:dyDescent="0.25">
      <c r="A581" s="1096"/>
      <c r="B581" s="1455">
        <v>331</v>
      </c>
      <c r="C581" s="1100">
        <v>0.99432709668065822</v>
      </c>
      <c r="D581" s="1100">
        <v>0.95646561623266246</v>
      </c>
      <c r="E581" s="1100">
        <v>1.013402834875323</v>
      </c>
      <c r="F581" s="1100">
        <v>0.98246806627047278</v>
      </c>
      <c r="G581" s="1100">
        <v>0.99857421994646856</v>
      </c>
      <c r="H581" s="1100">
        <v>1.0107871254169138</v>
      </c>
      <c r="I581" s="1100">
        <v>1.0176293590088217</v>
      </c>
      <c r="K581">
        <v>1.142928346384694</v>
      </c>
      <c r="L581">
        <v>0</v>
      </c>
      <c r="M581">
        <v>8.059050203802629E-4</v>
      </c>
      <c r="N581">
        <v>7.7225669738912706E-2</v>
      </c>
      <c r="O581">
        <v>1.0599773007498358E-2</v>
      </c>
      <c r="P581">
        <v>1.3510965492608147E-2</v>
      </c>
      <c r="Q581">
        <v>4.6649561870884814E-4</v>
      </c>
      <c r="R581">
        <v>8.0413918693778312E-4</v>
      </c>
      <c r="S581">
        <v>7.6772520790577836E-2</v>
      </c>
      <c r="T581">
        <v>0.81225421598142378</v>
      </c>
      <c r="U581">
        <v>0</v>
      </c>
      <c r="V581">
        <v>9.2178221337938737E-2</v>
      </c>
      <c r="W581">
        <v>5.033160575344528E-2</v>
      </c>
      <c r="X581">
        <v>7.4020427145883557E-3</v>
      </c>
      <c r="Y581">
        <v>2.1886017824329154E-3</v>
      </c>
    </row>
    <row r="582" spans="1:25" x14ac:dyDescent="0.25">
      <c r="A582" s="1096"/>
      <c r="B582" s="1455">
        <v>332</v>
      </c>
      <c r="C582" s="1100">
        <v>0.96847457331403919</v>
      </c>
      <c r="D582" s="1100">
        <v>1.0074555551236197</v>
      </c>
      <c r="E582" s="1100">
        <v>0.97607029069875018</v>
      </c>
      <c r="F582" s="1100">
        <v>1.0335352083338389</v>
      </c>
      <c r="G582" s="1100">
        <v>0.95889933558637608</v>
      </c>
      <c r="H582" s="1100">
        <v>1.0306409211443275</v>
      </c>
      <c r="I582" s="1100">
        <v>1.0161108835699979</v>
      </c>
      <c r="K582">
        <v>1.187167846586358</v>
      </c>
      <c r="L582">
        <v>0</v>
      </c>
      <c r="M582">
        <v>8.9279842630010664E-4</v>
      </c>
      <c r="N582">
        <v>7.6426981644754408E-2</v>
      </c>
      <c r="O582">
        <v>1.0646395660149697E-2</v>
      </c>
      <c r="P582">
        <v>1.3732125783688275E-2</v>
      </c>
      <c r="Q582">
        <v>4.5124074131097555E-4</v>
      </c>
      <c r="R582">
        <v>8.9087988297050598E-4</v>
      </c>
      <c r="S582">
        <v>7.7432857120429174E-2</v>
      </c>
      <c r="T582">
        <v>0.85703495911043004</v>
      </c>
      <c r="U582">
        <v>0</v>
      </c>
      <c r="V582">
        <v>9.114090648283879E-2</v>
      </c>
      <c r="W582">
        <v>5.0933404511335621E-2</v>
      </c>
      <c r="X582">
        <v>6.9462127117790769E-3</v>
      </c>
      <c r="Y582">
        <v>2.424681362971224E-3</v>
      </c>
    </row>
    <row r="583" spans="1:25" x14ac:dyDescent="0.25">
      <c r="A583" s="1096"/>
      <c r="B583" s="1455">
        <v>333</v>
      </c>
      <c r="C583" s="1100">
        <v>1.0427781098762039</v>
      </c>
      <c r="D583" s="1100">
        <v>1.0448097039792628</v>
      </c>
      <c r="E583" s="1100">
        <v>1.0144138019862758</v>
      </c>
      <c r="F583" s="1100">
        <v>0.98290978373009685</v>
      </c>
      <c r="G583" s="1100">
        <v>1.0197311081631319</v>
      </c>
      <c r="H583" s="1100">
        <v>0.97911761003194486</v>
      </c>
      <c r="I583" s="1100">
        <v>1.0146897741445335</v>
      </c>
      <c r="K583">
        <v>1.1194942809274211</v>
      </c>
      <c r="L583">
        <v>0</v>
      </c>
      <c r="M583">
        <v>7.1702874742562062E-4</v>
      </c>
      <c r="N583">
        <v>6.8914193132966622E-2</v>
      </c>
      <c r="O583">
        <v>9.7566496153870808E-3</v>
      </c>
      <c r="P583">
        <v>1.3407986926969583E-2</v>
      </c>
      <c r="Q583">
        <v>4.2982301531062497E-4</v>
      </c>
      <c r="R583">
        <v>7.1540683543640238E-4</v>
      </c>
      <c r="S583">
        <v>6.8530597624157946E-2</v>
      </c>
      <c r="T583">
        <v>0.81255406615888948</v>
      </c>
      <c r="U583">
        <v>0</v>
      </c>
      <c r="V583">
        <v>9.1924380335854844E-2</v>
      </c>
      <c r="W583">
        <v>4.4887939711824858E-2</v>
      </c>
      <c r="X583">
        <v>7.1431647457915809E-3</v>
      </c>
      <c r="Y583">
        <v>1.9471015722579675E-3</v>
      </c>
    </row>
    <row r="584" spans="1:25" x14ac:dyDescent="0.25">
      <c r="A584" s="1096"/>
      <c r="B584" s="1455">
        <v>334</v>
      </c>
      <c r="C584" s="1100">
        <v>0.97247398255511652</v>
      </c>
      <c r="D584" s="1100">
        <v>0.98375348597769607</v>
      </c>
      <c r="E584" s="1100">
        <v>0.99871211643449498</v>
      </c>
      <c r="F584" s="1100">
        <v>0.98253414099583503</v>
      </c>
      <c r="G584" s="1100">
        <v>1.022391205103486</v>
      </c>
      <c r="H584" s="1100">
        <v>0.97966324939373495</v>
      </c>
      <c r="I584" s="1100">
        <v>0.97318004155127136</v>
      </c>
      <c r="K584">
        <v>1.1372703327434495</v>
      </c>
      <c r="L584">
        <v>0</v>
      </c>
      <c r="M584">
        <v>8.1416445689665683E-4</v>
      </c>
      <c r="N584">
        <v>7.462641551836327E-2</v>
      </c>
      <c r="O584">
        <v>1.0711718611827249E-2</v>
      </c>
      <c r="P584">
        <v>1.3344004057760567E-2</v>
      </c>
      <c r="Q584">
        <v>4.6453499761905215E-4</v>
      </c>
      <c r="R584">
        <v>8.1232385061284437E-4</v>
      </c>
      <c r="S584">
        <v>7.2699488924399799E-2</v>
      </c>
      <c r="T584">
        <v>0.8132616187257683</v>
      </c>
      <c r="U584">
        <v>0</v>
      </c>
      <c r="V584">
        <v>9.3754261792707641E-2</v>
      </c>
      <c r="W584">
        <v>4.906204108843637E-2</v>
      </c>
      <c r="X584">
        <v>7.1372118939686978E-3</v>
      </c>
      <c r="Y584">
        <v>2.2108777388827757E-3</v>
      </c>
    </row>
    <row r="585" spans="1:25" x14ac:dyDescent="0.25">
      <c r="A585" s="1096"/>
      <c r="B585" s="1455">
        <v>335</v>
      </c>
      <c r="C585" s="1100">
        <v>1.0332794769702776</v>
      </c>
      <c r="D585" s="1100">
        <v>1.0121165704668196</v>
      </c>
      <c r="E585" s="1100">
        <v>0.99965541316038886</v>
      </c>
      <c r="F585" s="1100">
        <v>0.98325733464972054</v>
      </c>
      <c r="G585" s="1100">
        <v>1.0217803429782484</v>
      </c>
      <c r="H585" s="1100">
        <v>1.0008792528940582</v>
      </c>
      <c r="I585" s="1100">
        <v>1.0032305710749123</v>
      </c>
      <c r="K585">
        <v>1.1268203669850032</v>
      </c>
      <c r="L585">
        <v>0</v>
      </c>
      <c r="M585">
        <v>7.7248459280769078E-4</v>
      </c>
      <c r="N585">
        <v>7.1011534760208647E-2</v>
      </c>
      <c r="O585">
        <v>9.9676917143574767E-3</v>
      </c>
      <c r="P585">
        <v>1.3307794227583932E-2</v>
      </c>
      <c r="Q585">
        <v>4.3267903971874185E-4</v>
      </c>
      <c r="R585">
        <v>7.7077523209857399E-4</v>
      </c>
      <c r="S585">
        <v>7.0344792643274201E-2</v>
      </c>
      <c r="T585">
        <v>0.81379878978809339</v>
      </c>
      <c r="U585">
        <v>0</v>
      </c>
      <c r="V585">
        <v>9.2228609514122706E-2</v>
      </c>
      <c r="W585">
        <v>4.6659307348936786E-2</v>
      </c>
      <c r="X585">
        <v>6.9730812136297917E-3</v>
      </c>
      <c r="Y585">
        <v>2.0977960957853444E-3</v>
      </c>
    </row>
    <row r="586" spans="1:25" x14ac:dyDescent="0.25">
      <c r="A586" s="1096"/>
      <c r="B586" s="1455">
        <v>336</v>
      </c>
      <c r="C586" s="1100">
        <v>0.96556430124151127</v>
      </c>
      <c r="D586" s="1100">
        <v>1.0087313430801319</v>
      </c>
      <c r="E586" s="1100">
        <v>0.99931924044744447</v>
      </c>
      <c r="F586" s="1100">
        <v>0.99668389867214235</v>
      </c>
      <c r="G586" s="1100">
        <v>0.99846803299839915</v>
      </c>
      <c r="H586" s="1100">
        <v>0.98019863061924428</v>
      </c>
      <c r="I586" s="1100">
        <v>1.0135977343801472</v>
      </c>
      <c r="K586">
        <v>1.1506882664354281</v>
      </c>
      <c r="L586">
        <v>0</v>
      </c>
      <c r="M586">
        <v>8.1122936306244101E-4</v>
      </c>
      <c r="N586">
        <v>7.4494001900630491E-2</v>
      </c>
      <c r="O586">
        <v>1.0680918254976473E-2</v>
      </c>
      <c r="P586">
        <v>1.3533177835150659E-2</v>
      </c>
      <c r="Q586">
        <v>4.6348219516701122E-4</v>
      </c>
      <c r="R586">
        <v>8.0939639394304451E-4</v>
      </c>
      <c r="S586">
        <v>7.5306268726806624E-2</v>
      </c>
      <c r="T586">
        <v>0.82493355346756314</v>
      </c>
      <c r="U586">
        <v>0</v>
      </c>
      <c r="V586">
        <v>9.2913913136437515E-2</v>
      </c>
      <c r="W586">
        <v>4.8957304956416203E-2</v>
      </c>
      <c r="X586">
        <v>7.2045687645348362E-3</v>
      </c>
      <c r="Y586">
        <v>2.2029101668634122E-3</v>
      </c>
    </row>
    <row r="587" spans="1:25" x14ac:dyDescent="0.25">
      <c r="A587" s="1096"/>
      <c r="B587" s="1455">
        <v>337</v>
      </c>
      <c r="C587" s="1100">
        <v>1.0101208437772291</v>
      </c>
      <c r="D587" s="1100">
        <v>1.0173202226973364</v>
      </c>
      <c r="E587" s="1100">
        <v>0.99275388910240348</v>
      </c>
      <c r="F587" s="1100">
        <v>1.0288749140699018</v>
      </c>
      <c r="G587" s="1100">
        <v>0.99270878089337833</v>
      </c>
      <c r="H587" s="1100">
        <v>0.96975191478970357</v>
      </c>
      <c r="I587" s="1100">
        <v>0.9974333421676046</v>
      </c>
      <c r="K587">
        <v>1.1629950123023898</v>
      </c>
      <c r="L587">
        <v>0</v>
      </c>
      <c r="M587">
        <v>7.750612619884579E-4</v>
      </c>
      <c r="N587">
        <v>6.9772806526051931E-2</v>
      </c>
      <c r="O587">
        <v>1.017310356284311E-2</v>
      </c>
      <c r="P587">
        <v>1.3744704556288618E-2</v>
      </c>
      <c r="Q587">
        <v>4.3853631873474504E-4</v>
      </c>
      <c r="R587">
        <v>7.7329114910416712E-4</v>
      </c>
      <c r="S587">
        <v>7.010413128640125E-2</v>
      </c>
      <c r="T587">
        <v>0.85202543090760052</v>
      </c>
      <c r="U587">
        <v>0</v>
      </c>
      <c r="V587">
        <v>9.1534568833747054E-2</v>
      </c>
      <c r="W587">
        <v>4.6034386386099621E-2</v>
      </c>
      <c r="X587">
        <v>7.0644704450042849E-3</v>
      </c>
      <c r="Y587">
        <v>2.1046435925027515E-3</v>
      </c>
    </row>
    <row r="588" spans="1:25" x14ac:dyDescent="0.25">
      <c r="A588" s="1096"/>
      <c r="B588" s="1455">
        <v>338</v>
      </c>
      <c r="C588" s="1100">
        <v>1.0281225653324992</v>
      </c>
      <c r="D588" s="1100">
        <v>0.99872811108672543</v>
      </c>
      <c r="E588" s="1100">
        <v>1.0095394764480488</v>
      </c>
      <c r="F588" s="1100">
        <v>1.0203211704897628</v>
      </c>
      <c r="G588" s="1100">
        <v>0.96743144322013341</v>
      </c>
      <c r="H588" s="1100">
        <v>0.97708951894444485</v>
      </c>
      <c r="I588" s="1100">
        <v>1.026219103292862</v>
      </c>
      <c r="K588">
        <v>1.1562166902274276</v>
      </c>
      <c r="L588">
        <v>0</v>
      </c>
      <c r="M588">
        <v>7.4648008824388615E-4</v>
      </c>
      <c r="N588">
        <v>7.0696566832720187E-2</v>
      </c>
      <c r="O588">
        <v>1.0074340996067294E-2</v>
      </c>
      <c r="P588">
        <v>1.3808515512867079E-2</v>
      </c>
      <c r="Q588">
        <v>4.4166377733575215E-4</v>
      </c>
      <c r="R588">
        <v>7.4478805282043349E-4</v>
      </c>
      <c r="S588">
        <v>7.1858396093427923E-2</v>
      </c>
      <c r="T588">
        <v>0.84380872670472329</v>
      </c>
      <c r="U588">
        <v>0</v>
      </c>
      <c r="V588">
        <v>9.0026919585137866E-2</v>
      </c>
      <c r="W588">
        <v>4.618124753266041E-2</v>
      </c>
      <c r="X588">
        <v>7.2949376674495301E-3</v>
      </c>
      <c r="Y588">
        <v>2.0270675604615925E-3</v>
      </c>
    </row>
    <row r="589" spans="1:25" x14ac:dyDescent="0.25">
      <c r="A589" s="1096"/>
      <c r="B589" s="1455">
        <v>339</v>
      </c>
      <c r="C589" s="1100">
        <v>0.99683179227741636</v>
      </c>
      <c r="D589" s="1100">
        <v>1.0091467545406951</v>
      </c>
      <c r="E589" s="1100">
        <v>0.98630975292312928</v>
      </c>
      <c r="F589" s="1100">
        <v>0.96973526258250164</v>
      </c>
      <c r="G589" s="1100">
        <v>0.97011844627642019</v>
      </c>
      <c r="H589" s="1100">
        <v>1.0333298714794248</v>
      </c>
      <c r="I589" s="1100">
        <v>1.0261405988440302</v>
      </c>
      <c r="K589">
        <v>1.1282799501962344</v>
      </c>
      <c r="L589">
        <v>0</v>
      </c>
      <c r="M589">
        <v>8.5086944551452011E-4</v>
      </c>
      <c r="N589">
        <v>7.5129831037415898E-2</v>
      </c>
      <c r="O589">
        <v>1.0339936389891599E-2</v>
      </c>
      <c r="P589">
        <v>1.3094404933848535E-2</v>
      </c>
      <c r="Q589">
        <v>4.4283348112956838E-4</v>
      </c>
      <c r="R589">
        <v>8.4904576178989884E-4</v>
      </c>
      <c r="S589">
        <v>7.6032235874134699E-2</v>
      </c>
      <c r="T589">
        <v>0.80346691274988458</v>
      </c>
      <c r="U589">
        <v>0</v>
      </c>
      <c r="V589">
        <v>9.0894649250479867E-2</v>
      </c>
      <c r="W589">
        <v>4.9760617960107882E-2</v>
      </c>
      <c r="X589">
        <v>6.8095295273324138E-3</v>
      </c>
      <c r="Y589">
        <v>2.3108226757319514E-3</v>
      </c>
    </row>
    <row r="590" spans="1:25" x14ac:dyDescent="0.25">
      <c r="A590" s="1096"/>
      <c r="B590" s="1455">
        <v>340</v>
      </c>
      <c r="C590" s="1100">
        <v>1.0257440786375824</v>
      </c>
      <c r="D590" s="1100">
        <v>1.0226049382296585</v>
      </c>
      <c r="E590" s="1100">
        <v>1.0103375992387642</v>
      </c>
      <c r="F590" s="1100">
        <v>0.97728350895682159</v>
      </c>
      <c r="G590" s="1100">
        <v>0.97669213388177489</v>
      </c>
      <c r="H590" s="1100">
        <v>1.0074046242386081</v>
      </c>
      <c r="I590" s="1100">
        <v>1.0154860983281102</v>
      </c>
      <c r="K590">
        <v>1.1229720097874372</v>
      </c>
      <c r="L590">
        <v>0</v>
      </c>
      <c r="M590">
        <v>7.6290303454214789E-4</v>
      </c>
      <c r="N590">
        <v>7.2431183063736942E-2</v>
      </c>
      <c r="O590">
        <v>1.0002976538532639E-2</v>
      </c>
      <c r="P590">
        <v>1.3330030769558191E-2</v>
      </c>
      <c r="Q590">
        <v>4.3888515639256179E-4</v>
      </c>
      <c r="R590">
        <v>7.6122581088220473E-4</v>
      </c>
      <c r="S590">
        <v>7.1621824892254937E-2</v>
      </c>
      <c r="T590">
        <v>0.80816506102278796</v>
      </c>
      <c r="U590">
        <v>0</v>
      </c>
      <c r="V590">
        <v>9.0478819802814595E-2</v>
      </c>
      <c r="W590">
        <v>4.7292090482523572E-2</v>
      </c>
      <c r="X590">
        <v>7.1410095632948919E-3</v>
      </c>
      <c r="Y590">
        <v>2.0718057192002448E-3</v>
      </c>
    </row>
    <row r="591" spans="1:25" x14ac:dyDescent="0.25">
      <c r="A591" s="1096"/>
      <c r="B591" s="1455">
        <v>341</v>
      </c>
      <c r="C591" s="1100">
        <v>0.99310020525002307</v>
      </c>
      <c r="D591" s="1100">
        <v>1.0093694713989272</v>
      </c>
      <c r="E591" s="1100">
        <v>1.0163697006466192</v>
      </c>
      <c r="F591" s="1100">
        <v>1.0061165119381672</v>
      </c>
      <c r="G591" s="1100">
        <v>1.0045482456136945</v>
      </c>
      <c r="H591" s="1100">
        <v>0.98599948887466615</v>
      </c>
      <c r="I591" s="1100">
        <v>1.0424273144116925</v>
      </c>
      <c r="K591">
        <v>1.1559857948949637</v>
      </c>
      <c r="L591">
        <v>0</v>
      </c>
      <c r="M591">
        <v>7.6560698139679819E-4</v>
      </c>
      <c r="N591">
        <v>7.4019866231736356E-2</v>
      </c>
      <c r="O591">
        <v>1.0387744762761783E-2</v>
      </c>
      <c r="P591">
        <v>1.3794576247961819E-2</v>
      </c>
      <c r="Q591">
        <v>4.5851847116142882E-4</v>
      </c>
      <c r="R591">
        <v>7.6388727315323385E-4</v>
      </c>
      <c r="S591">
        <v>7.5543865753571582E-2</v>
      </c>
      <c r="T591">
        <v>0.83160935592677432</v>
      </c>
      <c r="U591">
        <v>0</v>
      </c>
      <c r="V591">
        <v>9.246485519427515E-2</v>
      </c>
      <c r="W591">
        <v>4.8158230673346979E-2</v>
      </c>
      <c r="X591">
        <v>7.4714519994654701E-3</v>
      </c>
      <c r="Y591">
        <v>2.0790493421511845E-3</v>
      </c>
    </row>
    <row r="592" spans="1:25" x14ac:dyDescent="0.25">
      <c r="A592" s="1096"/>
      <c r="B592" s="1455">
        <v>342</v>
      </c>
      <c r="C592" s="1100">
        <v>0.99935869384476583</v>
      </c>
      <c r="D592" s="1100">
        <v>1.0011755202396861</v>
      </c>
      <c r="E592" s="1100">
        <v>1.0057980964104039</v>
      </c>
      <c r="F592" s="1100">
        <v>1.0068566767343916</v>
      </c>
      <c r="G592" s="1100">
        <v>1.0310993726725297</v>
      </c>
      <c r="H592" s="1100">
        <v>0.98888231029404239</v>
      </c>
      <c r="I592" s="1100">
        <v>0.97522496349937537</v>
      </c>
      <c r="K592">
        <v>1.1520911295775349</v>
      </c>
      <c r="L592">
        <v>0</v>
      </c>
      <c r="M592">
        <v>7.8253045473727586E-4</v>
      </c>
      <c r="N592">
        <v>7.3280229398728858E-2</v>
      </c>
      <c r="O592">
        <v>1.0352935973454835E-2</v>
      </c>
      <c r="P592">
        <v>1.3651145982658749E-2</v>
      </c>
      <c r="Q592">
        <v>4.5218098717098932E-4</v>
      </c>
      <c r="R592">
        <v>7.807778571141021E-4</v>
      </c>
      <c r="S592">
        <v>7.0628447889702392E-2</v>
      </c>
      <c r="T592">
        <v>0.83292200885400824</v>
      </c>
      <c r="U592">
        <v>0</v>
      </c>
      <c r="V592">
        <v>9.3441936628291616E-2</v>
      </c>
      <c r="W592">
        <v>4.797489806892169E-2</v>
      </c>
      <c r="X592">
        <v>7.2640784485070806E-3</v>
      </c>
      <c r="Y592">
        <v>2.125019943713162E-3</v>
      </c>
    </row>
    <row r="593" spans="1:25" x14ac:dyDescent="0.25">
      <c r="A593" s="1096"/>
      <c r="B593" s="1455">
        <v>343</v>
      </c>
      <c r="C593" s="1100">
        <v>1.0063411474508732</v>
      </c>
      <c r="D593" s="1100">
        <v>1.0105278986540263</v>
      </c>
      <c r="E593" s="1100">
        <v>0.95487557884809371</v>
      </c>
      <c r="F593" s="1100">
        <v>1.006197695616055</v>
      </c>
      <c r="G593" s="1100">
        <v>1.0179322622280214</v>
      </c>
      <c r="H593" s="1100">
        <v>0.96538561641895915</v>
      </c>
      <c r="I593" s="1100">
        <v>1.0105249537818715</v>
      </c>
      <c r="K593">
        <v>1.1452066985390144</v>
      </c>
      <c r="L593">
        <v>0</v>
      </c>
      <c r="M593">
        <v>8.3974938548312501E-4</v>
      </c>
      <c r="N593">
        <v>6.740615122053073E-2</v>
      </c>
      <c r="O593">
        <v>1.0226496106595508E-2</v>
      </c>
      <c r="P593">
        <v>1.3169909040346395E-2</v>
      </c>
      <c r="Q593">
        <v>4.2413168450522486E-4</v>
      </c>
      <c r="R593">
        <v>8.3782286137193071E-4</v>
      </c>
      <c r="S593">
        <v>7.1316348640484362E-2</v>
      </c>
      <c r="T593">
        <v>0.83580166530324318</v>
      </c>
      <c r="U593">
        <v>0</v>
      </c>
      <c r="V593">
        <v>9.2700894570395875E-2</v>
      </c>
      <c r="W593">
        <v>4.550699028875476E-2</v>
      </c>
      <c r="X593">
        <v>6.3757605678467603E-3</v>
      </c>
      <c r="Y593">
        <v>2.2802776404223712E-3</v>
      </c>
    </row>
    <row r="594" spans="1:25" x14ac:dyDescent="0.25">
      <c r="A594" s="1096"/>
      <c r="B594" s="1455">
        <v>344</v>
      </c>
      <c r="C594" s="1100">
        <v>1.0114271664129768</v>
      </c>
      <c r="D594" s="1100">
        <v>1.021742654477487</v>
      </c>
      <c r="E594" s="1100">
        <v>0.96726605370549057</v>
      </c>
      <c r="F594" s="1100">
        <v>0.99625044510140859</v>
      </c>
      <c r="G594" s="1100">
        <v>1.0001628617354197</v>
      </c>
      <c r="H594" s="1100">
        <v>0.97959165157397066</v>
      </c>
      <c r="I594" s="1100">
        <v>0.9731197679793645</v>
      </c>
      <c r="K594">
        <v>1.1339770057996652</v>
      </c>
      <c r="L594">
        <v>0</v>
      </c>
      <c r="M594">
        <v>8.2280010081015368E-4</v>
      </c>
      <c r="N594">
        <v>6.8574520819382562E-2</v>
      </c>
      <c r="O594">
        <v>1.0134200312299699E-2</v>
      </c>
      <c r="P594">
        <v>1.3126716519983568E-2</v>
      </c>
      <c r="Q594">
        <v>4.2568737520027998E-4</v>
      </c>
      <c r="R594">
        <v>8.2093983570837535E-4</v>
      </c>
      <c r="S594">
        <v>6.850830305377871E-2</v>
      </c>
      <c r="T594">
        <v>0.82670617568428506</v>
      </c>
      <c r="U594">
        <v>0</v>
      </c>
      <c r="V594">
        <v>9.181832405222308E-2</v>
      </c>
      <c r="W594">
        <v>4.5945490717729576E-2</v>
      </c>
      <c r="X594">
        <v>6.5051199198299138E-3</v>
      </c>
      <c r="Y594">
        <v>2.2343276100540883E-3</v>
      </c>
    </row>
    <row r="595" spans="1:25" x14ac:dyDescent="0.25">
      <c r="A595" s="1096"/>
      <c r="B595" s="1455">
        <v>345</v>
      </c>
      <c r="C595" s="1100">
        <v>0.99575417845259995</v>
      </c>
      <c r="D595" s="1100">
        <v>0.9836341905087983</v>
      </c>
      <c r="E595" s="1100">
        <v>1.0182479965805464</v>
      </c>
      <c r="F595" s="1100">
        <v>1.0051501870556743</v>
      </c>
      <c r="G595" s="1100">
        <v>0.98915217270288747</v>
      </c>
      <c r="H595" s="1100">
        <v>1.0207869059747385</v>
      </c>
      <c r="I595" s="1100">
        <v>0.96691745891054837</v>
      </c>
      <c r="K595">
        <v>1.1566367667282769</v>
      </c>
      <c r="L595">
        <v>0</v>
      </c>
      <c r="M595">
        <v>7.9560089494703481E-4</v>
      </c>
      <c r="N595">
        <v>7.7362833796274316E-2</v>
      </c>
      <c r="O595">
        <v>1.0468264227504838E-2</v>
      </c>
      <c r="P595">
        <v>1.3744702409087995E-2</v>
      </c>
      <c r="Q595">
        <v>4.629375415154847E-4</v>
      </c>
      <c r="R595">
        <v>7.9387471625921456E-4</v>
      </c>
      <c r="S595">
        <v>7.2205424258526288E-2</v>
      </c>
      <c r="T595">
        <v>0.83068670282855661</v>
      </c>
      <c r="U595">
        <v>0</v>
      </c>
      <c r="V595">
        <v>9.1740576906446603E-2</v>
      </c>
      <c r="W595">
        <v>5.0277808281313514E-2</v>
      </c>
      <c r="X595">
        <v>7.5285773808110102E-3</v>
      </c>
      <c r="Y595">
        <v>2.1606652769277012E-3</v>
      </c>
    </row>
    <row r="596" spans="1:25" x14ac:dyDescent="0.25">
      <c r="A596" s="1096"/>
      <c r="B596" s="1455">
        <v>346</v>
      </c>
      <c r="C596" s="1100">
        <v>1.0090060153012212</v>
      </c>
      <c r="D596" s="1100">
        <v>1.0233925783205762</v>
      </c>
      <c r="E596" s="1100">
        <v>0.98286459598236842</v>
      </c>
      <c r="F596" s="1100">
        <v>0.98735007102946504</v>
      </c>
      <c r="G596" s="1100">
        <v>1.0134215906268824</v>
      </c>
      <c r="H596" s="1100">
        <v>1.0078268151958427</v>
      </c>
      <c r="I596" s="1100">
        <v>1.0178769487285435</v>
      </c>
      <c r="K596">
        <v>1.1358574970478583</v>
      </c>
      <c r="L596">
        <v>0</v>
      </c>
      <c r="M596">
        <v>8.2110540519973393E-4</v>
      </c>
      <c r="N596">
        <v>7.1746262936639063E-2</v>
      </c>
      <c r="O596">
        <v>1.0156956520135957E-2</v>
      </c>
      <c r="P596">
        <v>1.3238925376239552E-2</v>
      </c>
      <c r="Q596">
        <v>4.3348023670648761E-4</v>
      </c>
      <c r="R596">
        <v>8.1930098126360099E-4</v>
      </c>
      <c r="S596">
        <v>7.2937446108066295E-2</v>
      </c>
      <c r="T596">
        <v>0.81828842845983452</v>
      </c>
      <c r="U596">
        <v>0</v>
      </c>
      <c r="V596">
        <v>9.2446051996241244E-2</v>
      </c>
      <c r="W596">
        <v>4.7618181800465245E-2</v>
      </c>
      <c r="X596">
        <v>6.7637008489617239E-3</v>
      </c>
      <c r="Y596">
        <v>2.2298671885036345E-3</v>
      </c>
    </row>
    <row r="597" spans="1:25" x14ac:dyDescent="0.25">
      <c r="A597" s="1096"/>
      <c r="B597" s="1455">
        <v>347</v>
      </c>
      <c r="C597" s="1100">
        <v>1.0029777815830203</v>
      </c>
      <c r="D597" s="1100">
        <v>1.0053693953523528</v>
      </c>
      <c r="E597" s="1100">
        <v>1.0131801975271142</v>
      </c>
      <c r="F597" s="1100">
        <v>1.0411291024079414</v>
      </c>
      <c r="G597" s="1100">
        <v>0.97068394002597502</v>
      </c>
      <c r="H597" s="1100">
        <v>1.0146980301768074</v>
      </c>
      <c r="I597" s="1100">
        <v>0.9912432651180938</v>
      </c>
      <c r="K597">
        <v>1.1828932024540404</v>
      </c>
      <c r="L597">
        <v>0</v>
      </c>
      <c r="M597">
        <v>7.8657003036057863E-4</v>
      </c>
      <c r="N597">
        <v>7.5322904095541904E-2</v>
      </c>
      <c r="O597">
        <v>1.0300752326850614E-2</v>
      </c>
      <c r="P597">
        <v>1.4097167518699381E-2</v>
      </c>
      <c r="Q597">
        <v>4.5323503082303924E-4</v>
      </c>
      <c r="R597">
        <v>7.8485320485900591E-4</v>
      </c>
      <c r="S597">
        <v>7.2420482574288236E-2</v>
      </c>
      <c r="T597">
        <v>0.86076739856379769</v>
      </c>
      <c r="U597">
        <v>0</v>
      </c>
      <c r="V597">
        <v>9.0771003235100997E-2</v>
      </c>
      <c r="W597">
        <v>4.909791243370526E-2</v>
      </c>
      <c r="X597">
        <v>7.527951803896921E-3</v>
      </c>
      <c r="Y597">
        <v>2.1361116968367662E-3</v>
      </c>
    </row>
    <row r="598" spans="1:25" x14ac:dyDescent="0.25">
      <c r="A598" s="1096"/>
      <c r="B598" s="1455">
        <v>348</v>
      </c>
      <c r="C598" s="1100">
        <v>1.0041137222850178</v>
      </c>
      <c r="D598" s="1100">
        <v>1.0075378395048153</v>
      </c>
      <c r="E598" s="1100">
        <v>1.0347011146462322</v>
      </c>
      <c r="F598" s="1100">
        <v>1.0198349503355693</v>
      </c>
      <c r="G598" s="1100">
        <v>0.98809348970015254</v>
      </c>
      <c r="H598" s="1100">
        <v>0.95935576752153773</v>
      </c>
      <c r="I598" s="1100">
        <v>1.0165969580060434</v>
      </c>
      <c r="K598">
        <v>1.1587609301791859</v>
      </c>
      <c r="L598">
        <v>0</v>
      </c>
      <c r="M598">
        <v>7.0966960323828225E-4</v>
      </c>
      <c r="N598">
        <v>7.2506849181696878E-2</v>
      </c>
      <c r="O598">
        <v>1.0287255019783538E-2</v>
      </c>
      <c r="P598">
        <v>1.4056684306448344E-2</v>
      </c>
      <c r="Q598">
        <v>4.6240835590615604E-4</v>
      </c>
      <c r="R598">
        <v>7.0803127057105983E-4</v>
      </c>
      <c r="S598">
        <v>7.185883035362968E-2</v>
      </c>
      <c r="T598">
        <v>0.84172615462400724</v>
      </c>
      <c r="U598">
        <v>0</v>
      </c>
      <c r="V598">
        <v>9.1490958823879698E-2</v>
      </c>
      <c r="W598">
        <v>4.6672781391717627E-2</v>
      </c>
      <c r="X598">
        <v>7.7736187387340266E-3</v>
      </c>
      <c r="Y598">
        <v>1.9270277160488094E-3</v>
      </c>
    </row>
    <row r="599" spans="1:25" x14ac:dyDescent="0.25">
      <c r="A599" s="1096"/>
      <c r="B599" s="1455">
        <v>349</v>
      </c>
      <c r="C599" s="1100">
        <v>1.0081033219387145</v>
      </c>
      <c r="D599" s="1100">
        <v>0.99707807226196343</v>
      </c>
      <c r="E599" s="1100">
        <v>0.99907828954037181</v>
      </c>
      <c r="F599" s="1100">
        <v>0.96172046352191565</v>
      </c>
      <c r="G599" s="1100">
        <v>0.9610966164670619</v>
      </c>
      <c r="H599" s="1100">
        <v>1.0195707069133997</v>
      </c>
      <c r="I599" s="1100">
        <v>1.0127510047339554</v>
      </c>
      <c r="K599">
        <v>1.1168907739795011</v>
      </c>
      <c r="L599">
        <v>0</v>
      </c>
      <c r="M599">
        <v>8.1237892938691725E-4</v>
      </c>
      <c r="N599">
        <v>7.455179467536116E-2</v>
      </c>
      <c r="O599">
        <v>1.0277795615024034E-2</v>
      </c>
      <c r="P599">
        <v>1.308391433434293E-2</v>
      </c>
      <c r="Q599">
        <v>4.4588124869601275E-4</v>
      </c>
      <c r="R599">
        <v>8.106142456668937E-4</v>
      </c>
      <c r="S599">
        <v>7.4111226916770287E-2</v>
      </c>
      <c r="T599">
        <v>0.79601042722651549</v>
      </c>
      <c r="U599">
        <v>0</v>
      </c>
      <c r="V599">
        <v>9.0233056289710997E-2</v>
      </c>
      <c r="W599">
        <v>4.9002307710454628E-2</v>
      </c>
      <c r="X599">
        <v>6.9699098885545752E-3</v>
      </c>
      <c r="Y599">
        <v>2.2062247577910176E-3</v>
      </c>
    </row>
    <row r="600" spans="1:25" x14ac:dyDescent="0.25">
      <c r="A600" s="1096"/>
      <c r="B600" s="1455">
        <v>350</v>
      </c>
      <c r="C600" s="1100">
        <v>1.0015751678247493</v>
      </c>
      <c r="D600" s="1100">
        <v>0.99352732570773628</v>
      </c>
      <c r="E600" s="1100">
        <v>0.95881583936214576</v>
      </c>
      <c r="F600" s="1100">
        <v>0.98720433515049855</v>
      </c>
      <c r="G600" s="1100">
        <v>1.0238848804123075</v>
      </c>
      <c r="H600" s="1100">
        <v>0.98388103544876759</v>
      </c>
      <c r="I600" s="1100">
        <v>1.0189428688229196</v>
      </c>
      <c r="K600">
        <v>1.1357850527867153</v>
      </c>
      <c r="L600">
        <v>0</v>
      </c>
      <c r="M600">
        <v>8.5876700733618447E-4</v>
      </c>
      <c r="N600">
        <v>6.9763844168724165E-2</v>
      </c>
      <c r="O600">
        <v>1.0346411359940076E-2</v>
      </c>
      <c r="P600">
        <v>1.3034299651570304E-2</v>
      </c>
      <c r="Q600">
        <v>4.3084942550232258E-4</v>
      </c>
      <c r="R600">
        <v>8.5683388944871681E-4</v>
      </c>
      <c r="S600">
        <v>7.3658938221741202E-2</v>
      </c>
      <c r="T600">
        <v>0.81976181069363641</v>
      </c>
      <c r="U600">
        <v>0</v>
      </c>
      <c r="V600">
        <v>9.3073052888746052E-2</v>
      </c>
      <c r="W600">
        <v>4.6984706745055359E-2</v>
      </c>
      <c r="X600">
        <v>6.4010533578223614E-3</v>
      </c>
      <c r="Y600">
        <v>2.3320193918636625E-3</v>
      </c>
    </row>
    <row r="601" spans="1:25" x14ac:dyDescent="0.25">
      <c r="A601" s="1096"/>
      <c r="B601" s="1455">
        <v>351</v>
      </c>
      <c r="C601" s="1100">
        <v>0.97346423715974462</v>
      </c>
      <c r="D601" s="1100">
        <v>0.96334738981956869</v>
      </c>
      <c r="E601" s="1100">
        <v>1.0201747756788648</v>
      </c>
      <c r="F601" s="1100">
        <v>0.9690917102819181</v>
      </c>
      <c r="G601" s="1100">
        <v>0.99983867955161265</v>
      </c>
      <c r="H601" s="1100">
        <v>1.0354335213576362</v>
      </c>
      <c r="I601" s="1100">
        <v>1.0326786204400782</v>
      </c>
      <c r="K601">
        <v>1.1422059024836595</v>
      </c>
      <c r="L601">
        <v>0</v>
      </c>
      <c r="M601">
        <v>8.2907522275944357E-4</v>
      </c>
      <c r="N601">
        <v>8.1090309777312575E-2</v>
      </c>
      <c r="O601">
        <v>1.079825587493748E-2</v>
      </c>
      <c r="P601">
        <v>1.347752366367853E-2</v>
      </c>
      <c r="Q601">
        <v>4.7844672892415952E-4</v>
      </c>
      <c r="R601">
        <v>8.2730186118707718E-4</v>
      </c>
      <c r="S601">
        <v>8.0373732641422363E-2</v>
      </c>
      <c r="T601">
        <v>0.80076442350891541</v>
      </c>
      <c r="U601">
        <v>0</v>
      </c>
      <c r="V601">
        <v>9.2767728175590411E-2</v>
      </c>
      <c r="W601">
        <v>5.2640869905685589E-2</v>
      </c>
      <c r="X601">
        <v>7.5647426225981026E-3</v>
      </c>
      <c r="Y601">
        <v>2.2516429461659788E-3</v>
      </c>
    </row>
    <row r="602" spans="1:25" x14ac:dyDescent="0.25">
      <c r="A602" s="1096"/>
      <c r="B602" s="1455">
        <v>352</v>
      </c>
      <c r="C602" s="1100">
        <v>0.95665540600789301</v>
      </c>
      <c r="D602" s="1100">
        <v>1.0027817967654751</v>
      </c>
      <c r="E602" s="1100">
        <v>1.0025599193650756</v>
      </c>
      <c r="F602" s="1100">
        <v>1.0369406034546977</v>
      </c>
      <c r="G602" s="1100">
        <v>1.0053093678527487</v>
      </c>
      <c r="H602" s="1100">
        <v>0.98040745292110931</v>
      </c>
      <c r="I602" s="1100">
        <v>1.0287022723652397</v>
      </c>
      <c r="K602">
        <v>1.1890818983193292</v>
      </c>
      <c r="L602">
        <v>0</v>
      </c>
      <c r="M602">
        <v>8.1539801882277402E-4</v>
      </c>
      <c r="N602">
        <v>7.5613492384833253E-2</v>
      </c>
      <c r="O602">
        <v>1.0807031231764613E-2</v>
      </c>
      <c r="P602">
        <v>1.4053694054158019E-2</v>
      </c>
      <c r="Q602">
        <v>4.7048397281699883E-4</v>
      </c>
      <c r="R602">
        <v>8.1355602306457499E-4</v>
      </c>
      <c r="S602">
        <v>7.7388501210939736E-2</v>
      </c>
      <c r="T602">
        <v>0.8580307795336326</v>
      </c>
      <c r="U602">
        <v>0</v>
      </c>
      <c r="V602">
        <v>9.3445959438368156E-2</v>
      </c>
      <c r="W602">
        <v>4.9597481858333931E-2</v>
      </c>
      <c r="X602">
        <v>7.4620853241279643E-3</v>
      </c>
      <c r="Y602">
        <v>2.2142313061108468E-3</v>
      </c>
    </row>
    <row r="603" spans="1:25" x14ac:dyDescent="0.25">
      <c r="A603" s="1096"/>
      <c r="B603" s="1455">
        <v>353</v>
      </c>
      <c r="C603" s="1100">
        <v>0.98603574092827451</v>
      </c>
      <c r="D603" s="1100">
        <v>1.0104613979641726</v>
      </c>
      <c r="E603" s="1100">
        <v>0.97545627924008693</v>
      </c>
      <c r="F603" s="1100">
        <v>0.96196676697111294</v>
      </c>
      <c r="G603" s="1100">
        <v>0.99571484621477291</v>
      </c>
      <c r="H603" s="1100">
        <v>1.0122029071217764</v>
      </c>
      <c r="I603" s="1100">
        <v>0.97762887735649506</v>
      </c>
      <c r="K603">
        <v>1.1176568051884326</v>
      </c>
      <c r="L603">
        <v>0</v>
      </c>
      <c r="M603">
        <v>8.6127664990942251E-4</v>
      </c>
      <c r="N603">
        <v>7.3588821671384474E-2</v>
      </c>
      <c r="O603">
        <v>1.044412903779982E-2</v>
      </c>
      <c r="P603">
        <v>1.2878636906555401E-2</v>
      </c>
      <c r="Q603">
        <v>4.4239097263894966E-4</v>
      </c>
      <c r="R603">
        <v>8.5939213025695241E-4</v>
      </c>
      <c r="S603">
        <v>7.232107022344629E-2</v>
      </c>
      <c r="T603">
        <v>0.79772806645743866</v>
      </c>
      <c r="U603">
        <v>0</v>
      </c>
      <c r="V603">
        <v>9.2259808437733432E-2</v>
      </c>
      <c r="W603">
        <v>4.9060210314251007E-2</v>
      </c>
      <c r="X603">
        <v>6.596573606817333E-3</v>
      </c>
      <c r="Y603">
        <v>2.3389820800198235E-3</v>
      </c>
    </row>
    <row r="604" spans="1:25" x14ac:dyDescent="0.25">
      <c r="A604" s="1096"/>
      <c r="B604" s="1455">
        <v>354</v>
      </c>
      <c r="C604" s="1100">
        <v>0.96284565732590066</v>
      </c>
      <c r="D604" s="1100">
        <v>0.97914916972712818</v>
      </c>
      <c r="E604" s="1100">
        <v>1.0196001860647435</v>
      </c>
      <c r="F604" s="1100">
        <v>0.99066362889637816</v>
      </c>
      <c r="G604" s="1100">
        <v>1.0039110027308249</v>
      </c>
      <c r="H604" s="1100">
        <v>0.96546452990609033</v>
      </c>
      <c r="I604" s="1100">
        <v>0.98820308879726992</v>
      </c>
      <c r="K604">
        <v>1.1458417362638007</v>
      </c>
      <c r="L604">
        <v>0</v>
      </c>
      <c r="M604">
        <v>7.7743518450770896E-4</v>
      </c>
      <c r="N604">
        <v>7.5896006644903133E-2</v>
      </c>
      <c r="O604">
        <v>1.0846326026872752E-2</v>
      </c>
      <c r="P604">
        <v>1.3639247939885224E-2</v>
      </c>
      <c r="Q604">
        <v>4.8030215468358018E-4</v>
      </c>
      <c r="R604">
        <v>7.7565176527168145E-4</v>
      </c>
      <c r="S604">
        <v>7.4167507823116582E-2</v>
      </c>
      <c r="T604">
        <v>0.81862670620235989</v>
      </c>
      <c r="U604">
        <v>0</v>
      </c>
      <c r="V604">
        <v>9.3222534036535395E-2</v>
      </c>
      <c r="W604">
        <v>4.9285484622582962E-2</v>
      </c>
      <c r="X604">
        <v>7.5683358205631572E-3</v>
      </c>
      <c r="Y604">
        <v>2.1110684115338142E-3</v>
      </c>
    </row>
    <row r="605" spans="1:25" x14ac:dyDescent="0.25">
      <c r="A605" s="1096"/>
      <c r="B605" s="1455">
        <v>355</v>
      </c>
      <c r="C605" s="1100">
        <v>0.98306871460997769</v>
      </c>
      <c r="D605" s="1100">
        <v>1.0022573220582238</v>
      </c>
      <c r="E605" s="1100">
        <v>1.0376282835461277</v>
      </c>
      <c r="F605" s="1100">
        <v>1.0242563585177</v>
      </c>
      <c r="G605" s="1100">
        <v>0.99787994507108047</v>
      </c>
      <c r="H605" s="1100">
        <v>0.98385034934867899</v>
      </c>
      <c r="I605" s="1100">
        <v>0.99469714661437081</v>
      </c>
      <c r="K605">
        <v>1.1711331846517836</v>
      </c>
      <c r="L605">
        <v>0</v>
      </c>
      <c r="M605">
        <v>7.403993112275306E-4</v>
      </c>
      <c r="N605">
        <v>7.632106272476874E-2</v>
      </c>
      <c r="O605">
        <v>1.0530567089656091E-2</v>
      </c>
      <c r="P605">
        <v>1.4164492149840389E-2</v>
      </c>
      <c r="Q605">
        <v>4.7471238886412955E-4</v>
      </c>
      <c r="R605">
        <v>7.3873259163829118E-4</v>
      </c>
      <c r="S605">
        <v>7.30223665885191E-2</v>
      </c>
      <c r="T605">
        <v>0.84518040838650199</v>
      </c>
      <c r="U605">
        <v>0</v>
      </c>
      <c r="V605">
        <v>9.2438352499632032E-2</v>
      </c>
      <c r="W605">
        <v>4.9044993975906732E-2</v>
      </c>
      <c r="X605">
        <v>7.9473089763778138E-3</v>
      </c>
      <c r="Y605">
        <v>2.0105865913060432E-3</v>
      </c>
    </row>
    <row r="606" spans="1:25" x14ac:dyDescent="0.25">
      <c r="A606" s="1096"/>
      <c r="B606" s="1455">
        <v>356</v>
      </c>
      <c r="C606" s="1100">
        <v>1.002950853823722</v>
      </c>
      <c r="D606" s="1100">
        <v>1.0195511349786739</v>
      </c>
      <c r="E606" s="1100">
        <v>1.0126432245670285</v>
      </c>
      <c r="F606" s="1100">
        <v>1.0038681389875421</v>
      </c>
      <c r="G606" s="1100">
        <v>0.99970225886510911</v>
      </c>
      <c r="H606" s="1100">
        <v>1.0024275353976737</v>
      </c>
      <c r="I606" s="1100">
        <v>0.99129370349202317</v>
      </c>
      <c r="K606">
        <v>1.149424052875478</v>
      </c>
      <c r="L606">
        <v>0</v>
      </c>
      <c r="M606">
        <v>7.7360021797295473E-4</v>
      </c>
      <c r="N606">
        <v>7.3958947543767709E-2</v>
      </c>
      <c r="O606">
        <v>1.0243299651128621E-2</v>
      </c>
      <c r="P606">
        <v>1.3671473294809769E-2</v>
      </c>
      <c r="Q606">
        <v>4.5046562528829406E-4</v>
      </c>
      <c r="R606">
        <v>7.7189103257576958E-4</v>
      </c>
      <c r="S606">
        <v>7.1418138641306583E-2</v>
      </c>
      <c r="T606">
        <v>0.82999686128620198</v>
      </c>
      <c r="U606">
        <v>0</v>
      </c>
      <c r="V606">
        <v>9.2011963478051809E-2</v>
      </c>
      <c r="W606">
        <v>4.8224073596237552E-2</v>
      </c>
      <c r="X606">
        <v>7.3497060072208586E-3</v>
      </c>
      <c r="Y606">
        <v>2.1008329368607426E-3</v>
      </c>
    </row>
    <row r="607" spans="1:25" x14ac:dyDescent="0.25">
      <c r="A607" s="1096"/>
      <c r="B607" s="1455">
        <v>357</v>
      </c>
      <c r="C607" s="1100">
        <v>0.9839085267956833</v>
      </c>
      <c r="D607" s="1100">
        <v>1.0015929031391257</v>
      </c>
      <c r="E607" s="1100">
        <v>0.99835024802896122</v>
      </c>
      <c r="F607" s="1100">
        <v>0.98400794659033186</v>
      </c>
      <c r="G607" s="1100">
        <v>0.97460837301558323</v>
      </c>
      <c r="H607" s="1100">
        <v>0.99958739161390708</v>
      </c>
      <c r="I607" s="1100">
        <v>1.0052705518666327</v>
      </c>
      <c r="K607">
        <v>1.1377304698773016</v>
      </c>
      <c r="L607">
        <v>0</v>
      </c>
      <c r="M607">
        <v>8.1579923806413392E-4</v>
      </c>
      <c r="N607">
        <v>7.4697917546909173E-2</v>
      </c>
      <c r="O607">
        <v>1.0511276766338984E-2</v>
      </c>
      <c r="P607">
        <v>1.3348186100169414E-2</v>
      </c>
      <c r="Q607">
        <v>4.5567652405569101E-4</v>
      </c>
      <c r="R607">
        <v>8.1399169728597345E-4</v>
      </c>
      <c r="S607">
        <v>7.4367627293287983E-2</v>
      </c>
      <c r="T607">
        <v>0.81450510600135539</v>
      </c>
      <c r="U607">
        <v>0</v>
      </c>
      <c r="V607">
        <v>9.1415126973252825E-2</v>
      </c>
      <c r="W607">
        <v>4.9119624559581694E-2</v>
      </c>
      <c r="X607">
        <v>7.0963185854059155E-3</v>
      </c>
      <c r="Y607">
        <v>2.2154170677215258E-3</v>
      </c>
    </row>
    <row r="608" spans="1:25" x14ac:dyDescent="0.25">
      <c r="A608" s="1096"/>
      <c r="B608" s="1455">
        <v>358</v>
      </c>
      <c r="C608" s="1100">
        <v>0.98984120936191167</v>
      </c>
      <c r="D608" s="1100">
        <v>1.0153020052535446</v>
      </c>
      <c r="E608" s="1100">
        <v>1.026662996386807</v>
      </c>
      <c r="F608" s="1100">
        <v>1.0137483459937844</v>
      </c>
      <c r="G608" s="1100">
        <v>1.0154234104465025</v>
      </c>
      <c r="H608" s="1100">
        <v>0.99966140787707969</v>
      </c>
      <c r="I608" s="1100">
        <v>1.006388640034622</v>
      </c>
      <c r="K608">
        <v>1.16324570226005</v>
      </c>
      <c r="L608">
        <v>0</v>
      </c>
      <c r="M608">
        <v>7.6048085000864378E-4</v>
      </c>
      <c r="N608">
        <v>7.5845278350546941E-2</v>
      </c>
      <c r="O608">
        <v>1.0400938357306686E-2</v>
      </c>
      <c r="P608">
        <v>1.395674801100715E-2</v>
      </c>
      <c r="Q608">
        <v>4.6381899794514694E-4</v>
      </c>
      <c r="R608">
        <v>7.5879600120511311E-4</v>
      </c>
      <c r="S608">
        <v>7.3526336928880956E-2</v>
      </c>
      <c r="T608">
        <v>0.83723391847839346</v>
      </c>
      <c r="U608">
        <v>0</v>
      </c>
      <c r="V608">
        <v>9.3013529066009196E-2</v>
      </c>
      <c r="W608">
        <v>4.9049943090627865E-2</v>
      </c>
      <c r="X608">
        <v>7.69168324988986E-3</v>
      </c>
      <c r="Y608">
        <v>2.0651925782457464E-3</v>
      </c>
    </row>
    <row r="609" spans="1:25" x14ac:dyDescent="0.25">
      <c r="A609" s="1096"/>
      <c r="B609" s="1455">
        <v>359</v>
      </c>
      <c r="C609" s="1100">
        <v>1.0175131096285543</v>
      </c>
      <c r="D609" s="1100">
        <v>0.98159738576637912</v>
      </c>
      <c r="E609" s="1100">
        <v>0.95635738056666464</v>
      </c>
      <c r="F609" s="1100">
        <v>0.96811647959946368</v>
      </c>
      <c r="G609" s="1100">
        <v>0.98453475085183273</v>
      </c>
      <c r="H609" s="1100">
        <v>1.0152647600765361</v>
      </c>
      <c r="I609" s="1100">
        <v>0.96368348953925087</v>
      </c>
      <c r="K609">
        <v>1.1162654496285769</v>
      </c>
      <c r="L609">
        <v>0</v>
      </c>
      <c r="M609">
        <v>8.809554127696828E-4</v>
      </c>
      <c r="N609">
        <v>7.1040081364607599E-2</v>
      </c>
      <c r="O609">
        <v>1.0232889191107392E-2</v>
      </c>
      <c r="P609">
        <v>1.2729790571893286E-2</v>
      </c>
      <c r="Q609">
        <v>4.250452683983884E-4</v>
      </c>
      <c r="R609">
        <v>8.7903364814769696E-4</v>
      </c>
      <c r="S609">
        <v>7.0215467115363653E-2</v>
      </c>
      <c r="T609">
        <v>0.80407233620987562</v>
      </c>
      <c r="U609">
        <v>0</v>
      </c>
      <c r="V609">
        <v>9.1002022052451489E-2</v>
      </c>
      <c r="W609">
        <v>4.7916583865657406E-2</v>
      </c>
      <c r="X609">
        <v>6.240715936950459E-3</v>
      </c>
      <c r="Y609">
        <v>2.3924398168937979E-3</v>
      </c>
    </row>
    <row r="610" spans="1:25" x14ac:dyDescent="0.25">
      <c r="A610" s="1096"/>
      <c r="B610" s="1455">
        <v>360</v>
      </c>
      <c r="C610" s="1100">
        <v>0.99137396853389048</v>
      </c>
      <c r="D610" s="1100">
        <v>0.99833861375266952</v>
      </c>
      <c r="E610" s="1100">
        <v>1.0366591145711403</v>
      </c>
      <c r="F610" s="1100">
        <v>0.98703364165194929</v>
      </c>
      <c r="G610" s="1100">
        <v>1.0435158617244638</v>
      </c>
      <c r="H610" s="1100">
        <v>0.98935858115212738</v>
      </c>
      <c r="I610" s="1100">
        <v>1.0164968514897132</v>
      </c>
      <c r="K610">
        <v>1.1426938122778167</v>
      </c>
      <c r="L610">
        <v>0</v>
      </c>
      <c r="M610">
        <v>7.4096142387425638E-4</v>
      </c>
      <c r="N610">
        <v>7.615725330790829E-2</v>
      </c>
      <c r="O610">
        <v>1.0458401286463458E-2</v>
      </c>
      <c r="P610">
        <v>1.3768674281162498E-2</v>
      </c>
      <c r="Q610">
        <v>4.7100941559904735E-4</v>
      </c>
      <c r="R610">
        <v>7.393027253771963E-4</v>
      </c>
      <c r="S610">
        <v>7.4375720888762542E-2</v>
      </c>
      <c r="T610">
        <v>0.81452770843304279</v>
      </c>
      <c r="U610">
        <v>0</v>
      </c>
      <c r="V610">
        <v>9.4176874128706747E-2</v>
      </c>
      <c r="W610">
        <v>4.8967114068623523E-2</v>
      </c>
      <c r="X610">
        <v>7.7805768586454516E-3</v>
      </c>
      <c r="Y610">
        <v>2.0121383073988062E-3</v>
      </c>
    </row>
    <row r="611" spans="1:25" x14ac:dyDescent="0.25">
      <c r="A611" s="1096"/>
      <c r="B611" s="1455">
        <v>361</v>
      </c>
      <c r="C611" s="1100">
        <v>0.97291342227203337</v>
      </c>
      <c r="D611" s="1100">
        <v>0.98298627224688673</v>
      </c>
      <c r="E611" s="1100">
        <v>0.99297875585529527</v>
      </c>
      <c r="F611" s="1100">
        <v>0.99888145299674869</v>
      </c>
      <c r="G611" s="1100">
        <v>0.99242116837866978</v>
      </c>
      <c r="H611" s="1100">
        <v>1.0176797259044754</v>
      </c>
      <c r="I611" s="1100">
        <v>1.0113439897923597</v>
      </c>
      <c r="K611">
        <v>1.1588900016764239</v>
      </c>
      <c r="L611">
        <v>0</v>
      </c>
      <c r="M611">
        <v>8.557509455929226E-4</v>
      </c>
      <c r="N611">
        <v>7.7097370590362591E-2</v>
      </c>
      <c r="O611">
        <v>1.0708281494729018E-2</v>
      </c>
      <c r="P611">
        <v>1.3518371951049768E-2</v>
      </c>
      <c r="Q611">
        <v>4.6171122493790859E-4</v>
      </c>
      <c r="R611">
        <v>8.5388859327869887E-4</v>
      </c>
      <c r="S611">
        <v>7.7158329076147919E-2</v>
      </c>
      <c r="T611">
        <v>0.82717251184738727</v>
      </c>
      <c r="U611">
        <v>0</v>
      </c>
      <c r="V611">
        <v>9.2460480827561961E-2</v>
      </c>
      <c r="W611">
        <v>5.0860117846685295E-2</v>
      </c>
      <c r="X611">
        <v>7.1306859032708968E-3</v>
      </c>
      <c r="Y611">
        <v>2.3240032666054953E-3</v>
      </c>
    </row>
    <row r="612" spans="1:25" x14ac:dyDescent="0.25">
      <c r="A612" s="1096"/>
      <c r="B612" s="1455">
        <v>362</v>
      </c>
      <c r="C612" s="1100">
        <v>0.97043066813735046</v>
      </c>
      <c r="D612" s="1100">
        <v>0.97847580186580829</v>
      </c>
      <c r="E612" s="1100">
        <v>1.007673825714503</v>
      </c>
      <c r="F612" s="1100">
        <v>1.0007030456279633</v>
      </c>
      <c r="G612" s="1100">
        <v>0.97590602219948197</v>
      </c>
      <c r="H612" s="1100">
        <v>0.99271037292403719</v>
      </c>
      <c r="I612" s="1100">
        <v>0.97271214807067974</v>
      </c>
      <c r="K612">
        <v>1.1542111296961213</v>
      </c>
      <c r="L612">
        <v>0</v>
      </c>
      <c r="M612">
        <v>8.1325849279905739E-4</v>
      </c>
      <c r="N612">
        <v>7.6591021218748237E-2</v>
      </c>
      <c r="O612">
        <v>1.0760445377868876E-2</v>
      </c>
      <c r="P612">
        <v>1.3616791681627268E-2</v>
      </c>
      <c r="Q612">
        <v>4.7086326583339942E-4</v>
      </c>
      <c r="R612">
        <v>8.1144409869782946E-4</v>
      </c>
      <c r="S612">
        <v>7.3566931158085214E-2</v>
      </c>
      <c r="T612">
        <v>0.82770755869932566</v>
      </c>
      <c r="U612">
        <v>0</v>
      </c>
      <c r="V612">
        <v>9.1822098034716484E-2</v>
      </c>
      <c r="W612">
        <v>5.0086824918626767E-2</v>
      </c>
      <c r="X612">
        <v>7.3819263912091411E-3</v>
      </c>
      <c r="Y612">
        <v>2.2084833441802466E-3</v>
      </c>
    </row>
    <row r="613" spans="1:25" x14ac:dyDescent="0.25">
      <c r="A613" s="1096"/>
      <c r="B613" s="1455">
        <v>363</v>
      </c>
      <c r="C613" s="1100">
        <v>0.98682758462010844</v>
      </c>
      <c r="D613" s="1100">
        <v>0.99674150402980022</v>
      </c>
      <c r="E613" s="1100">
        <v>0.96803622101365305</v>
      </c>
      <c r="F613" s="1100">
        <v>0.9905335350162533</v>
      </c>
      <c r="G613" s="1100">
        <v>1.0326090243464856</v>
      </c>
      <c r="H613" s="1100">
        <v>0.99734365906986899</v>
      </c>
      <c r="I613" s="1100">
        <v>0.9686471282495841</v>
      </c>
      <c r="K613">
        <v>1.1409988952474019</v>
      </c>
      <c r="L613">
        <v>0</v>
      </c>
      <c r="M613">
        <v>8.6576646767711634E-4</v>
      </c>
      <c r="N613">
        <v>7.2326868772075642E-2</v>
      </c>
      <c r="O613">
        <v>1.0490518247651306E-2</v>
      </c>
      <c r="P613">
        <v>1.3137163184362258E-2</v>
      </c>
      <c r="Q613">
        <v>4.4100198224645881E-4</v>
      </c>
      <c r="R613">
        <v>8.6384390056889343E-4</v>
      </c>
      <c r="S613">
        <v>7.150006890496198E-2</v>
      </c>
      <c r="T613">
        <v>0.82191087863363388</v>
      </c>
      <c r="U613">
        <v>0</v>
      </c>
      <c r="V613">
        <v>9.3816768531004513E-2</v>
      </c>
      <c r="W613">
        <v>4.8436842097296665E-2</v>
      </c>
      <c r="X613">
        <v>6.5896091299933986E-3</v>
      </c>
      <c r="Y613">
        <v>2.3510983312832376E-3</v>
      </c>
    </row>
    <row r="614" spans="1:25" x14ac:dyDescent="0.25">
      <c r="A614" s="1096"/>
      <c r="B614" s="1455">
        <v>364</v>
      </c>
      <c r="C614" s="1100">
        <v>0.99528343809975584</v>
      </c>
      <c r="D614" s="1100">
        <v>0.99264047255033305</v>
      </c>
      <c r="E614" s="1100">
        <v>1.0054793482064557</v>
      </c>
      <c r="F614" s="1100">
        <v>1.0122900860787145</v>
      </c>
      <c r="G614" s="1100">
        <v>0.9847767815719396</v>
      </c>
      <c r="H614" s="1100">
        <v>1.0349124909341403</v>
      </c>
      <c r="I614" s="1100">
        <v>1.0079246536999042</v>
      </c>
      <c r="K614">
        <v>1.1665798337923059</v>
      </c>
      <c r="L614">
        <v>0</v>
      </c>
      <c r="M614">
        <v>8.2567584981961095E-4</v>
      </c>
      <c r="N614">
        <v>7.7253907455823279E-2</v>
      </c>
      <c r="O614">
        <v>1.0430882715662719E-2</v>
      </c>
      <c r="P614">
        <v>1.3751025167462131E-2</v>
      </c>
      <c r="Q614">
        <v>4.5543994400505504E-4</v>
      </c>
      <c r="R614">
        <v>8.239088702370114E-4</v>
      </c>
      <c r="S614">
        <v>7.5520733917625135E-2</v>
      </c>
      <c r="T614">
        <v>0.83743809883954434</v>
      </c>
      <c r="U614">
        <v>0</v>
      </c>
      <c r="V614">
        <v>9.1563165602748756E-2</v>
      </c>
      <c r="W614">
        <v>5.0585914518174804E-2</v>
      </c>
      <c r="X614">
        <v>7.3400242675424427E-3</v>
      </c>
      <c r="Y614">
        <v>2.2424083432990662E-3</v>
      </c>
    </row>
    <row r="615" spans="1:25" x14ac:dyDescent="0.25">
      <c r="A615" s="1096"/>
      <c r="B615" s="1455">
        <v>365</v>
      </c>
      <c r="C615" s="1100">
        <v>0.99533331924160384</v>
      </c>
      <c r="D615" s="1100">
        <v>1.0218093765113063</v>
      </c>
      <c r="E615" s="1100">
        <v>0.96580341953386017</v>
      </c>
      <c r="F615" s="1100">
        <v>1.0114323669590832</v>
      </c>
      <c r="G615" s="1100">
        <v>0.99133937833800601</v>
      </c>
      <c r="H615" s="1100">
        <v>1.0192216173571735</v>
      </c>
      <c r="I615" s="1100">
        <v>1.0139778106583484</v>
      </c>
      <c r="K615">
        <v>1.159414504470567</v>
      </c>
      <c r="L615">
        <v>0</v>
      </c>
      <c r="M615">
        <v>8.7253579623745739E-4</v>
      </c>
      <c r="N615">
        <v>7.2404592701398887E-2</v>
      </c>
      <c r="O615">
        <v>1.0297320073578963E-2</v>
      </c>
      <c r="P615">
        <v>1.3356025642599625E-2</v>
      </c>
      <c r="Q615">
        <v>4.3189184516690375E-4</v>
      </c>
      <c r="R615">
        <v>8.7063978806613273E-4</v>
      </c>
      <c r="S615">
        <v>7.4162321249097191E-2</v>
      </c>
      <c r="T615">
        <v>0.83940394365984927</v>
      </c>
      <c r="U615">
        <v>0</v>
      </c>
      <c r="V615">
        <v>9.1836697355307556E-2</v>
      </c>
      <c r="W615">
        <v>4.8554994112012848E-2</v>
      </c>
      <c r="X615">
        <v>6.5990193429393534E-3</v>
      </c>
      <c r="Y615">
        <v>2.369594496787013E-3</v>
      </c>
    </row>
    <row r="616" spans="1:25" x14ac:dyDescent="0.25">
      <c r="A616" s="1096"/>
      <c r="B616" s="1455">
        <v>366</v>
      </c>
      <c r="C616" s="1100">
        <v>0.98221885398101993</v>
      </c>
      <c r="D616" s="1100">
        <v>0.99204597743645417</v>
      </c>
      <c r="E616" s="1100">
        <v>1.0050834512128264</v>
      </c>
      <c r="F616" s="1100">
        <v>0.99563995530157257</v>
      </c>
      <c r="G616" s="1100">
        <v>0.99982497743750576</v>
      </c>
      <c r="H616" s="1100">
        <v>1.0181691531649655</v>
      </c>
      <c r="I616" s="1100">
        <v>0.99949023465988207</v>
      </c>
      <c r="K616">
        <v>1.1530075444245058</v>
      </c>
      <c r="L616">
        <v>0</v>
      </c>
      <c r="M616">
        <v>8.2399658165381573E-4</v>
      </c>
      <c r="N616">
        <v>7.7001948029333217E-2</v>
      </c>
      <c r="O616">
        <v>1.0572025533794618E-2</v>
      </c>
      <c r="P616">
        <v>1.3567987876388569E-2</v>
      </c>
      <c r="Q616">
        <v>4.6141949151213657E-4</v>
      </c>
      <c r="R616">
        <v>8.2220419767814175E-4</v>
      </c>
      <c r="S616">
        <v>7.5212206239444745E-2</v>
      </c>
      <c r="T616">
        <v>0.82368995923606347</v>
      </c>
      <c r="U616">
        <v>0</v>
      </c>
      <c r="V616">
        <v>9.2537638957403148E-2</v>
      </c>
      <c r="W616">
        <v>5.0432747368014896E-2</v>
      </c>
      <c r="X616">
        <v>7.2956352899879676E-3</v>
      </c>
      <c r="Y616">
        <v>2.2377687865389804E-3</v>
      </c>
    </row>
    <row r="617" spans="1:25" x14ac:dyDescent="0.25">
      <c r="A617" s="1096"/>
      <c r="B617" s="1455">
        <v>367</v>
      </c>
      <c r="C617" s="1100">
        <v>1.0340493401687736</v>
      </c>
      <c r="D617" s="1100">
        <v>1.0169880329865422</v>
      </c>
      <c r="E617" s="1100">
        <v>1.0254436872578352</v>
      </c>
      <c r="F617" s="1100">
        <v>0.95474747946201244</v>
      </c>
      <c r="G617" s="1100">
        <v>0.9958405293614303</v>
      </c>
      <c r="H617" s="1100">
        <v>1.0040534009769726</v>
      </c>
      <c r="I617" s="1100">
        <v>0.96596072124021548</v>
      </c>
      <c r="K617">
        <v>1.100068842518275</v>
      </c>
      <c r="L617">
        <v>0</v>
      </c>
      <c r="M617">
        <v>7.3253940460354526E-4</v>
      </c>
      <c r="N617">
        <v>7.2791166644888591E-2</v>
      </c>
      <c r="O617">
        <v>9.9492822744542114E-3</v>
      </c>
      <c r="P617">
        <v>1.3160526714360968E-2</v>
      </c>
      <c r="Q617">
        <v>4.4314216465551984E-4</v>
      </c>
      <c r="R617">
        <v>7.3092355938496204E-4</v>
      </c>
      <c r="S617">
        <v>6.7662597021439994E-2</v>
      </c>
      <c r="T617">
        <v>0.78858240390511547</v>
      </c>
      <c r="U617">
        <v>0</v>
      </c>
      <c r="V617">
        <v>9.1105571622590031E-2</v>
      </c>
      <c r="W617">
        <v>4.7108250602937461E-2</v>
      </c>
      <c r="X617">
        <v>7.2781844332914843E-3</v>
      </c>
      <c r="Y617">
        <v>1.9893329797592719E-3</v>
      </c>
    </row>
    <row r="618" spans="1:25" x14ac:dyDescent="0.25">
      <c r="A618" s="1096"/>
      <c r="B618" s="1455">
        <v>368</v>
      </c>
      <c r="C618" s="1100">
        <v>0.97799658119841892</v>
      </c>
      <c r="D618" s="1100">
        <v>1.0179152943515755</v>
      </c>
      <c r="E618" s="1100">
        <v>1.0083255040369281</v>
      </c>
      <c r="F618" s="1100">
        <v>1.0117273564102249</v>
      </c>
      <c r="G618" s="1100">
        <v>1.0205127910590033</v>
      </c>
      <c r="H618" s="1100">
        <v>1.0244333173393863</v>
      </c>
      <c r="I618" s="1100">
        <v>0.99844296657549492</v>
      </c>
      <c r="K618">
        <v>1.1671813867162995</v>
      </c>
      <c r="L618">
        <v>0</v>
      </c>
      <c r="M618">
        <v>8.1858635704914584E-4</v>
      </c>
      <c r="N618">
        <v>7.7249982228616801E-2</v>
      </c>
      <c r="O618">
        <v>1.0509976938572543E-2</v>
      </c>
      <c r="P618">
        <v>1.378730282935201E-2</v>
      </c>
      <c r="Q618">
        <v>4.6020311820567323E-4</v>
      </c>
      <c r="R618">
        <v>8.1681662960559817E-4</v>
      </c>
      <c r="S618">
        <v>7.4731887169613612E-2</v>
      </c>
      <c r="T618">
        <v>0.83678257404524781</v>
      </c>
      <c r="U618">
        <v>0</v>
      </c>
      <c r="V618">
        <v>9.3531470525719793E-2</v>
      </c>
      <c r="W618">
        <v>5.0498313756233697E-2</v>
      </c>
      <c r="X618">
        <v>7.4083402299229602E-3</v>
      </c>
      <c r="Y618">
        <v>2.223105602256855E-3</v>
      </c>
    </row>
    <row r="619" spans="1:25" x14ac:dyDescent="0.25">
      <c r="A619" s="1096"/>
      <c r="B619" s="1455">
        <v>369</v>
      </c>
      <c r="C619" s="1100">
        <v>0.98796820119439177</v>
      </c>
      <c r="D619" s="1100">
        <v>0.99388572092034566</v>
      </c>
      <c r="E619" s="1100">
        <v>1.0069104450367166</v>
      </c>
      <c r="F619" s="1100">
        <v>0.99701938742637397</v>
      </c>
      <c r="G619" s="1100">
        <v>1.0007757850430199</v>
      </c>
      <c r="H619" s="1100">
        <v>1.0118874909232947</v>
      </c>
      <c r="I619" s="1100">
        <v>0.99150317166689639</v>
      </c>
      <c r="K619">
        <v>1.1510223410204143</v>
      </c>
      <c r="L619">
        <v>0</v>
      </c>
      <c r="M619">
        <v>8.1046403973069996E-4</v>
      </c>
      <c r="N619">
        <v>7.615533149360848E-2</v>
      </c>
      <c r="O619">
        <v>1.0503323812043719E-2</v>
      </c>
      <c r="P619">
        <v>1.3580286659415268E-2</v>
      </c>
      <c r="Q619">
        <v>4.5926083367249499E-4</v>
      </c>
      <c r="R619">
        <v>8.0869014803457151E-4</v>
      </c>
      <c r="S619">
        <v>7.385165197571561E-2</v>
      </c>
      <c r="T619">
        <v>0.82471091802808272</v>
      </c>
      <c r="U619">
        <v>0</v>
      </c>
      <c r="V619">
        <v>9.2431731930955316E-2</v>
      </c>
      <c r="W619">
        <v>4.9824376060430157E-2</v>
      </c>
      <c r="X619">
        <v>7.3062461198703755E-3</v>
      </c>
      <c r="Y619">
        <v>2.2009879983144508E-3</v>
      </c>
    </row>
    <row r="620" spans="1:25" x14ac:dyDescent="0.25">
      <c r="A620" s="1096"/>
      <c r="B620" s="1455">
        <v>370</v>
      </c>
      <c r="C620" s="1100">
        <v>0.99512720969808266</v>
      </c>
      <c r="D620" s="1100">
        <v>0.99446345464322339</v>
      </c>
      <c r="E620" s="1100">
        <v>1.0319823765392329</v>
      </c>
      <c r="F620" s="1100">
        <v>1.0009982646269413</v>
      </c>
      <c r="G620" s="1100">
        <v>0.95969536718652337</v>
      </c>
      <c r="H620" s="1100">
        <v>1.0195438409901725</v>
      </c>
      <c r="I620" s="1100">
        <v>0.95903430158869751</v>
      </c>
      <c r="K620">
        <v>1.1508486823407074</v>
      </c>
      <c r="L620">
        <v>0</v>
      </c>
      <c r="M620">
        <v>7.6933827842852866E-4</v>
      </c>
      <c r="N620">
        <v>7.7972409963852657E-2</v>
      </c>
      <c r="O620">
        <v>1.0433627646019804E-2</v>
      </c>
      <c r="P620">
        <v>1.3791849911002994E-2</v>
      </c>
      <c r="Q620">
        <v>4.677311077657374E-4</v>
      </c>
      <c r="R620">
        <v>7.6766704538560064E-4</v>
      </c>
      <c r="S620">
        <v>7.1227958793284973E-2</v>
      </c>
      <c r="T620">
        <v>0.82635642886103988</v>
      </c>
      <c r="U620">
        <v>0</v>
      </c>
      <c r="V620">
        <v>9.0499931550158355E-2</v>
      </c>
      <c r="W620">
        <v>5.0270036429785496E-2</v>
      </c>
      <c r="X620">
        <v>7.7410426746737033E-3</v>
      </c>
      <c r="Y620">
        <v>2.0893366361661053E-3</v>
      </c>
    </row>
    <row r="621" spans="1:25" x14ac:dyDescent="0.25">
      <c r="A621" s="1096"/>
      <c r="B621" s="1455">
        <v>371</v>
      </c>
      <c r="C621" s="1100">
        <v>1.001367841126751</v>
      </c>
      <c r="D621" s="1100">
        <v>1.0387136931849881</v>
      </c>
      <c r="E621" s="1100">
        <v>1.008140738748539</v>
      </c>
      <c r="F621" s="1100">
        <v>1.0298858873202492</v>
      </c>
      <c r="G621" s="1100">
        <v>1.0162603529304075</v>
      </c>
      <c r="H621" s="1100">
        <v>0.97930174504528711</v>
      </c>
      <c r="I621" s="1100">
        <v>0.97764370618556118</v>
      </c>
      <c r="K621">
        <v>1.165743062311613</v>
      </c>
      <c r="L621">
        <v>0</v>
      </c>
      <c r="M621">
        <v>7.5839245754878498E-4</v>
      </c>
      <c r="N621">
        <v>7.1522426714255613E-2</v>
      </c>
      <c r="O621">
        <v>1.0181909501137416E-2</v>
      </c>
      <c r="P621">
        <v>1.3901771638594006E-2</v>
      </c>
      <c r="Q621">
        <v>4.4575552486526376E-4</v>
      </c>
      <c r="R621">
        <v>7.5667730380883126E-4</v>
      </c>
      <c r="S621">
        <v>6.8966254166453578E-2</v>
      </c>
      <c r="T621">
        <v>0.85181373480685607</v>
      </c>
      <c r="U621">
        <v>0</v>
      </c>
      <c r="V621">
        <v>9.2758151849149761E-2</v>
      </c>
      <c r="W621">
        <v>4.675931201432048E-2</v>
      </c>
      <c r="X621">
        <v>7.336035067359842E-3</v>
      </c>
      <c r="Y621">
        <v>2.0594261823614767E-3</v>
      </c>
    </row>
    <row r="622" spans="1:25" x14ac:dyDescent="0.25">
      <c r="A622" s="1096"/>
      <c r="B622" s="1455">
        <v>372</v>
      </c>
      <c r="C622" s="1100">
        <v>1.0019107686111963</v>
      </c>
      <c r="D622" s="1100">
        <v>0.98902965582063374</v>
      </c>
      <c r="E622" s="1100">
        <v>0.99248803361732252</v>
      </c>
      <c r="F622" s="1100">
        <v>0.96993705446750089</v>
      </c>
      <c r="G622" s="1100">
        <v>0.97602724150476028</v>
      </c>
      <c r="H622" s="1100">
        <v>1.0167566006791919</v>
      </c>
      <c r="I622" s="1100">
        <v>0.97739893663655453</v>
      </c>
      <c r="K622">
        <v>1.1232702742403879</v>
      </c>
      <c r="L622">
        <v>0</v>
      </c>
      <c r="M622">
        <v>8.2903953704921527E-4</v>
      </c>
      <c r="N622">
        <v>7.457999373033071E-2</v>
      </c>
      <c r="O622">
        <v>1.0372739028306587E-2</v>
      </c>
      <c r="P622">
        <v>1.3101398317947594E-2</v>
      </c>
      <c r="Q622">
        <v>4.470221257269249E-4</v>
      </c>
      <c r="R622">
        <v>8.2723367812368245E-4</v>
      </c>
      <c r="S622">
        <v>7.214588740145364E-2</v>
      </c>
      <c r="T622">
        <v>0.80323531421141836</v>
      </c>
      <c r="U622">
        <v>0</v>
      </c>
      <c r="V622">
        <v>9.102228146250628E-2</v>
      </c>
      <c r="W622">
        <v>4.9213871722022282E-2</v>
      </c>
      <c r="X622">
        <v>6.9021147252567262E-3</v>
      </c>
      <c r="Y622">
        <v>2.2514573743439592E-3</v>
      </c>
    </row>
    <row r="623" spans="1:25" x14ac:dyDescent="0.25">
      <c r="A623" s="1096"/>
      <c r="B623" s="1455">
        <v>373</v>
      </c>
      <c r="C623" s="1100">
        <v>0.99897634958229808</v>
      </c>
      <c r="D623" s="1100">
        <v>1.0155114353850692</v>
      </c>
      <c r="E623" s="1100">
        <v>0.99663022329473616</v>
      </c>
      <c r="F623" s="1100">
        <v>0.98274698062259758</v>
      </c>
      <c r="G623" s="1100">
        <v>1.0318348263650268</v>
      </c>
      <c r="H623" s="1100">
        <v>0.97578745146979162</v>
      </c>
      <c r="I623" s="1100">
        <v>0.98668157906392573</v>
      </c>
      <c r="K623">
        <v>1.128875381309185</v>
      </c>
      <c r="L623">
        <v>0</v>
      </c>
      <c r="M623">
        <v>7.8283230129629262E-4</v>
      </c>
      <c r="N623">
        <v>7.1303879273276277E-2</v>
      </c>
      <c r="O623">
        <v>1.0295179914563145E-2</v>
      </c>
      <c r="P623">
        <v>1.3292886556563162E-2</v>
      </c>
      <c r="Q623">
        <v>4.4553642296717849E-4</v>
      </c>
      <c r="R623">
        <v>7.8105549908387395E-4</v>
      </c>
      <c r="S623">
        <v>7.0431776691611159E-2</v>
      </c>
      <c r="T623">
        <v>0.81357339753766034</v>
      </c>
      <c r="U623">
        <v>0</v>
      </c>
      <c r="V623">
        <v>9.3481675878284848E-2</v>
      </c>
      <c r="W623">
        <v>4.6935835961713926E-2</v>
      </c>
      <c r="X623">
        <v>6.991214281127465E-3</v>
      </c>
      <c r="Y623">
        <v>2.1257755936302295E-3</v>
      </c>
    </row>
    <row r="624" spans="1:25" x14ac:dyDescent="0.25">
      <c r="A624" s="1096"/>
      <c r="B624" s="1455">
        <v>374</v>
      </c>
      <c r="C624" s="1100">
        <v>0.99777405142032927</v>
      </c>
      <c r="D624" s="1100">
        <v>1.0132502122593299</v>
      </c>
      <c r="E624" s="1100">
        <v>1.0099495200746205</v>
      </c>
      <c r="F624" s="1100">
        <v>0.95852281198132838</v>
      </c>
      <c r="G624" s="1100">
        <v>1.0188314477142719</v>
      </c>
      <c r="H624" s="1100">
        <v>0.99815510917831363</v>
      </c>
      <c r="I624" s="1100">
        <v>0.98948786005433886</v>
      </c>
      <c r="K624">
        <v>1.1128941051391965</v>
      </c>
      <c r="L624">
        <v>0</v>
      </c>
      <c r="M624">
        <v>7.8057901995178664E-4</v>
      </c>
      <c r="N624">
        <v>7.4021081326799229E-2</v>
      </c>
      <c r="O624">
        <v>1.032112884266205E-2</v>
      </c>
      <c r="P624">
        <v>1.3148796547436597E-2</v>
      </c>
      <c r="Q624">
        <v>4.5266860584896121E-4</v>
      </c>
      <c r="R624">
        <v>7.7884703378861551E-4</v>
      </c>
      <c r="S624">
        <v>7.1711417680069084E-2</v>
      </c>
      <c r="T624">
        <v>0.79267539854463964</v>
      </c>
      <c r="U624">
        <v>0</v>
      </c>
      <c r="V624">
        <v>9.295747691491181E-2</v>
      </c>
      <c r="W624">
        <v>4.8341233874514444E-2</v>
      </c>
      <c r="X624">
        <v>7.1468699093607639E-3</v>
      </c>
      <c r="Y624">
        <v>2.1197648791169252E-3</v>
      </c>
    </row>
    <row r="625" spans="1:25" x14ac:dyDescent="0.25">
      <c r="A625" s="1096"/>
      <c r="B625" s="1455">
        <v>375</v>
      </c>
      <c r="C625" s="1100">
        <v>0.98365445890609104</v>
      </c>
      <c r="D625" s="1100">
        <v>0.98122189688844319</v>
      </c>
      <c r="E625" s="1100">
        <v>0.96440235160864141</v>
      </c>
      <c r="F625" s="1100">
        <v>0.98085824841550429</v>
      </c>
      <c r="G625" s="1100">
        <v>1.0039026448963086</v>
      </c>
      <c r="H625" s="1100">
        <v>1.0001232486989444</v>
      </c>
      <c r="I625" s="1100">
        <v>1.0052868059707167</v>
      </c>
      <c r="K625">
        <v>1.1368683603629559</v>
      </c>
      <c r="L625">
        <v>0</v>
      </c>
      <c r="M625">
        <v>8.8306030886725617E-4</v>
      </c>
      <c r="N625">
        <v>7.2964582918773585E-2</v>
      </c>
      <c r="O625">
        <v>1.058941811048306E-2</v>
      </c>
      <c r="P625">
        <v>1.3030483066520042E-2</v>
      </c>
      <c r="Q625">
        <v>4.4350577192026194E-4</v>
      </c>
      <c r="R625">
        <v>8.8110478815683142E-4</v>
      </c>
      <c r="S625">
        <v>7.5158653276296408E-2</v>
      </c>
      <c r="T625">
        <v>0.81412252518940831</v>
      </c>
      <c r="U625">
        <v>0</v>
      </c>
      <c r="V625">
        <v>9.2669387311679785E-2</v>
      </c>
      <c r="W625">
        <v>4.8972432675541126E-2</v>
      </c>
      <c r="X625">
        <v>6.5212507857964246E-3</v>
      </c>
      <c r="Y625">
        <v>2.3980767772475414E-3</v>
      </c>
    </row>
    <row r="626" spans="1:25" x14ac:dyDescent="0.25">
      <c r="A626" s="1096"/>
      <c r="B626" s="1455">
        <v>376</v>
      </c>
      <c r="C626" s="1100">
        <v>0.9797779517182037</v>
      </c>
      <c r="D626" s="1100">
        <v>1.022937411252433</v>
      </c>
      <c r="E626" s="1100">
        <v>0.96048271632116067</v>
      </c>
      <c r="F626" s="1100">
        <v>0.96875340184562297</v>
      </c>
      <c r="G626" s="1100">
        <v>0.99725451120042286</v>
      </c>
      <c r="H626" s="1100">
        <v>0.9775071117599573</v>
      </c>
      <c r="I626" s="1100">
        <v>1.0131182897586064</v>
      </c>
      <c r="K626">
        <v>1.1200745650622876</v>
      </c>
      <c r="L626">
        <v>0</v>
      </c>
      <c r="M626">
        <v>8.5911025019799075E-4</v>
      </c>
      <c r="N626">
        <v>7.0144103644801739E-2</v>
      </c>
      <c r="O626">
        <v>1.0454438213521967E-2</v>
      </c>
      <c r="P626">
        <v>1.2836998781904163E-2</v>
      </c>
      <c r="Q626">
        <v>4.3609455568415363E-4</v>
      </c>
      <c r="R626">
        <v>8.5716374954902146E-4</v>
      </c>
      <c r="S626">
        <v>7.3489103946051834E-2</v>
      </c>
      <c r="T626">
        <v>0.80433137874448279</v>
      </c>
      <c r="U626">
        <v>0</v>
      </c>
      <c r="V626">
        <v>9.2484121756823301E-2</v>
      </c>
      <c r="W626">
        <v>4.7192506845722543E-2</v>
      </c>
      <c r="X626">
        <v>6.3748479116251056E-3</v>
      </c>
      <c r="Y626">
        <v>2.3329171623183379E-3</v>
      </c>
    </row>
    <row r="627" spans="1:25" x14ac:dyDescent="0.25">
      <c r="A627" s="1096"/>
      <c r="B627" s="1455">
        <v>377</v>
      </c>
      <c r="C627" s="1100">
        <v>1.0194794228807282</v>
      </c>
      <c r="D627" s="1100">
        <v>1.0143695718252652</v>
      </c>
      <c r="E627" s="1100">
        <v>0.99799670760187009</v>
      </c>
      <c r="F627" s="1100">
        <v>0.9966855361649043</v>
      </c>
      <c r="G627" s="1100">
        <v>1.0046465878203621</v>
      </c>
      <c r="H627" s="1100">
        <v>1.0377890275997717</v>
      </c>
      <c r="I627" s="1100">
        <v>0.9764310971732918</v>
      </c>
      <c r="K627">
        <v>1.1442273436799126</v>
      </c>
      <c r="L627">
        <v>0</v>
      </c>
      <c r="M627">
        <v>8.1388729781882744E-4</v>
      </c>
      <c r="N627">
        <v>7.4449369900586163E-2</v>
      </c>
      <c r="O627">
        <v>1.0093107218864411E-2</v>
      </c>
      <c r="P627">
        <v>1.3443905971547787E-2</v>
      </c>
      <c r="Q627">
        <v>4.3739274803371146E-4</v>
      </c>
      <c r="R627">
        <v>8.1215037398785423E-4</v>
      </c>
      <c r="S627">
        <v>7.0741467309275122E-2</v>
      </c>
      <c r="T627">
        <v>0.82502223383086182</v>
      </c>
      <c r="U627">
        <v>0</v>
      </c>
      <c r="V627">
        <v>9.1820517473824304E-2</v>
      </c>
      <c r="W627">
        <v>4.8966488223472361E-2</v>
      </c>
      <c r="X627">
        <v>7.0441923345822043E-3</v>
      </c>
      <c r="Y627">
        <v>2.2104055926961065E-3</v>
      </c>
    </row>
    <row r="628" spans="1:25" x14ac:dyDescent="0.25">
      <c r="A628" s="1096"/>
      <c r="B628" s="1455">
        <v>378</v>
      </c>
      <c r="C628" s="1100">
        <v>0.97247461302467419</v>
      </c>
      <c r="D628" s="1100">
        <v>0.96179346543571032</v>
      </c>
      <c r="E628" s="1100">
        <v>1.0149819782530083</v>
      </c>
      <c r="F628" s="1100">
        <v>1.0255939769821254</v>
      </c>
      <c r="G628" s="1100">
        <v>1.0089534116350081</v>
      </c>
      <c r="H628" s="1100">
        <v>0.99724641991981799</v>
      </c>
      <c r="I628" s="1100">
        <v>0.99993758446103764</v>
      </c>
      <c r="K628">
        <v>1.181013263590494</v>
      </c>
      <c r="L628">
        <v>0</v>
      </c>
      <c r="M628">
        <v>8.0851293379387388E-4</v>
      </c>
      <c r="N628">
        <v>7.7843378478398256E-2</v>
      </c>
      <c r="O628">
        <v>1.0814446833053168E-2</v>
      </c>
      <c r="P628">
        <v>1.4024554506978816E-2</v>
      </c>
      <c r="Q628">
        <v>4.7669357229956352E-4</v>
      </c>
      <c r="R628">
        <v>8.0671733186310599E-4</v>
      </c>
      <c r="S628">
        <v>7.6339637786728254E-2</v>
      </c>
      <c r="T628">
        <v>0.84780202963965789</v>
      </c>
      <c r="U628">
        <v>0</v>
      </c>
      <c r="V628">
        <v>9.3182333634230563E-2</v>
      </c>
      <c r="W628">
        <v>5.0687130368904862E-2</v>
      </c>
      <c r="X628">
        <v>7.649235729138705E-3</v>
      </c>
      <c r="Y628">
        <v>2.1956186430343969E-3</v>
      </c>
    </row>
    <row r="629" spans="1:25" x14ac:dyDescent="0.25">
      <c r="A629" s="1096"/>
      <c r="B629" s="1455">
        <v>379</v>
      </c>
      <c r="C629" s="1100">
        <v>0.98428955262049356</v>
      </c>
      <c r="D629" s="1100">
        <v>1.0061861247724693</v>
      </c>
      <c r="E629" s="1100">
        <v>1.003811518886695</v>
      </c>
      <c r="F629" s="1100">
        <v>0.99771430506691394</v>
      </c>
      <c r="G629" s="1100">
        <v>1.0339234503182764</v>
      </c>
      <c r="H629" s="1100">
        <v>0.99387465707499301</v>
      </c>
      <c r="I629" s="1100">
        <v>1.0283824364221481</v>
      </c>
      <c r="K629">
        <v>1.1523584236968656</v>
      </c>
      <c r="L629">
        <v>0</v>
      </c>
      <c r="M629">
        <v>8.0022201295252378E-4</v>
      </c>
      <c r="N629">
        <v>7.4489541182890515E-2</v>
      </c>
      <c r="O629">
        <v>1.0489807184035797E-2</v>
      </c>
      <c r="P629">
        <v>1.3604747999577883E-2</v>
      </c>
      <c r="Q629">
        <v>4.5724750917690852E-4</v>
      </c>
      <c r="R629">
        <v>7.9843879488691557E-4</v>
      </c>
      <c r="S629">
        <v>7.5634002891737551E-2</v>
      </c>
      <c r="T629">
        <v>0.8254898952619909</v>
      </c>
      <c r="U629">
        <v>0</v>
      </c>
      <c r="V629">
        <v>9.394208767758265E-2</v>
      </c>
      <c r="W629">
        <v>4.8824002183355274E-2</v>
      </c>
      <c r="X629">
        <v>7.2557878301797701E-3</v>
      </c>
      <c r="Y629">
        <v>2.1730871944041883E-3</v>
      </c>
    </row>
    <row r="630" spans="1:25" x14ac:dyDescent="0.25">
      <c r="A630" s="1096"/>
      <c r="B630" s="1455">
        <v>380</v>
      </c>
      <c r="C630" s="1100">
        <v>0.96921577620345334</v>
      </c>
      <c r="D630" s="1100">
        <v>1.04129662020222</v>
      </c>
      <c r="E630" s="1100">
        <v>0.97471640512552804</v>
      </c>
      <c r="F630" s="1100">
        <v>1.0275173951941818</v>
      </c>
      <c r="G630" s="1100">
        <v>1.018486882395313</v>
      </c>
      <c r="H630" s="1100">
        <v>1.0185287145442468</v>
      </c>
      <c r="I630" s="1100">
        <v>1.0392749693502397</v>
      </c>
      <c r="K630">
        <v>1.180963985087027</v>
      </c>
      <c r="L630">
        <v>0</v>
      </c>
      <c r="M630">
        <v>8.7249423183284451E-4</v>
      </c>
      <c r="N630">
        <v>7.4381526753572375E-2</v>
      </c>
      <c r="O630">
        <v>1.0498140715662586E-2</v>
      </c>
      <c r="P630">
        <v>1.3684406722167674E-2</v>
      </c>
      <c r="Q630">
        <v>4.4434360072931242E-4</v>
      </c>
      <c r="R630">
        <v>8.7059702419170731E-4</v>
      </c>
      <c r="S630">
        <v>7.7291810561508009E-2</v>
      </c>
      <c r="T630">
        <v>0.85213803579280212</v>
      </c>
      <c r="U630">
        <v>0</v>
      </c>
      <c r="V630">
        <v>9.3669662621545385E-2</v>
      </c>
      <c r="W630">
        <v>4.9610936489357681E-2</v>
      </c>
      <c r="X630">
        <v>6.8775409297045708E-3</v>
      </c>
      <c r="Y630">
        <v>2.3694781076179332E-3</v>
      </c>
    </row>
    <row r="631" spans="1:25" x14ac:dyDescent="0.25">
      <c r="A631" s="1096"/>
      <c r="B631" s="1455">
        <v>381</v>
      </c>
      <c r="C631" s="1100">
        <v>0.98213297990615356</v>
      </c>
      <c r="D631" s="1100">
        <v>0.99123901207155862</v>
      </c>
      <c r="E631" s="1100">
        <v>1.0392035036794458</v>
      </c>
      <c r="F631" s="1100">
        <v>0.99107762794875376</v>
      </c>
      <c r="G631" s="1100">
        <v>1.0022390997841566</v>
      </c>
      <c r="H631" s="1100">
        <v>1.0354448116916828</v>
      </c>
      <c r="I631" s="1100">
        <v>0.98795518326855103</v>
      </c>
      <c r="K631">
        <v>1.1532334949972174</v>
      </c>
      <c r="L631">
        <v>0</v>
      </c>
      <c r="M631">
        <v>7.8085524636083278E-4</v>
      </c>
      <c r="N631">
        <v>8.0883285394448681E-2</v>
      </c>
      <c r="O631">
        <v>1.0587841056039432E-2</v>
      </c>
      <c r="P631">
        <v>1.382769604437465E-2</v>
      </c>
      <c r="Q631">
        <v>4.7803476457831013E-4</v>
      </c>
      <c r="R631">
        <v>7.7918504376584235E-4</v>
      </c>
      <c r="S631">
        <v>7.5132701410315347E-2</v>
      </c>
      <c r="T631">
        <v>0.81770107142730775</v>
      </c>
      <c r="U631">
        <v>0</v>
      </c>
      <c r="V631">
        <v>9.2648942207066154E-2</v>
      </c>
      <c r="W631">
        <v>5.1929550402434813E-2</v>
      </c>
      <c r="X631">
        <v>7.9253576623974122E-3</v>
      </c>
      <c r="Y631">
        <v>2.1206848308499772E-3</v>
      </c>
    </row>
    <row r="632" spans="1:25" x14ac:dyDescent="0.25">
      <c r="A632" s="1096"/>
      <c r="B632" s="1455">
        <v>382</v>
      </c>
      <c r="C632" s="1100">
        <v>0.98262278661696012</v>
      </c>
      <c r="D632" s="1100">
        <v>0.99770157890695554</v>
      </c>
      <c r="E632" s="1100">
        <v>0.97017604276309388</v>
      </c>
      <c r="F632" s="1100">
        <v>1.0217332795242169</v>
      </c>
      <c r="G632" s="1100">
        <v>0.99540485612893437</v>
      </c>
      <c r="H632" s="1100">
        <v>0.97652038693288379</v>
      </c>
      <c r="I632" s="1100">
        <v>1.0046015300141606</v>
      </c>
      <c r="K632">
        <v>1.1659742586438542</v>
      </c>
      <c r="L632">
        <v>0</v>
      </c>
      <c r="M632">
        <v>8.4723949790353682E-4</v>
      </c>
      <c r="N632">
        <v>7.1235835942248277E-2</v>
      </c>
      <c r="O632">
        <v>1.053206224165858E-2</v>
      </c>
      <c r="P632">
        <v>1.3509654394275509E-2</v>
      </c>
      <c r="Q632">
        <v>4.4371827696398875E-4</v>
      </c>
      <c r="R632">
        <v>8.4531795335478948E-4</v>
      </c>
      <c r="S632">
        <v>7.3570585563368804E-2</v>
      </c>
      <c r="T632">
        <v>0.84765243021722825</v>
      </c>
      <c r="U632">
        <v>0</v>
      </c>
      <c r="V632">
        <v>9.2333086622027633E-2</v>
      </c>
      <c r="W632">
        <v>4.7644049798041162E-2</v>
      </c>
      <c r="X632">
        <v>6.7540803225466873E-3</v>
      </c>
      <c r="Y632">
        <v>2.3006768100433052E-3</v>
      </c>
    </row>
    <row r="633" spans="1:25" x14ac:dyDescent="0.25">
      <c r="A633" s="1096"/>
      <c r="B633" s="1455">
        <v>383</v>
      </c>
      <c r="C633" s="1100">
        <v>0.98234358796345234</v>
      </c>
      <c r="D633" s="1100">
        <v>0.99090490417168342</v>
      </c>
      <c r="E633" s="1100">
        <v>1.0048257892220924</v>
      </c>
      <c r="F633" s="1100">
        <v>1.021634964470209</v>
      </c>
      <c r="G633" s="1100">
        <v>1.0217417751001825</v>
      </c>
      <c r="H633" s="1100">
        <v>1.0044255926335643</v>
      </c>
      <c r="I633" s="1100">
        <v>0.96839849146107959</v>
      </c>
      <c r="K633">
        <v>1.1712213324080285</v>
      </c>
      <c r="L633">
        <v>0</v>
      </c>
      <c r="M633">
        <v>8.1358010601369787E-4</v>
      </c>
      <c r="N633">
        <v>7.5967129002318043E-2</v>
      </c>
      <c r="O633">
        <v>1.0575464284739296E-2</v>
      </c>
      <c r="P633">
        <v>1.3833443673122368E-2</v>
      </c>
      <c r="Q633">
        <v>4.6145037456490667E-4</v>
      </c>
      <c r="R633">
        <v>8.1178616512612393E-4</v>
      </c>
      <c r="S633">
        <v>7.2352701373628675E-2</v>
      </c>
      <c r="T633">
        <v>0.84521293788524376</v>
      </c>
      <c r="U633">
        <v>0</v>
      </c>
      <c r="V633">
        <v>9.3471339606946882E-2</v>
      </c>
      <c r="W633">
        <v>4.9762578660637297E-2</v>
      </c>
      <c r="X633">
        <v>7.3766671514792267E-3</v>
      </c>
      <c r="Y633">
        <v>2.2094143362358957E-3</v>
      </c>
    </row>
    <row r="634" spans="1:25" x14ac:dyDescent="0.25">
      <c r="A634" s="1096"/>
      <c r="B634" s="1455">
        <v>384</v>
      </c>
      <c r="C634" s="1100">
        <v>1.0072390652063261</v>
      </c>
      <c r="D634" s="1100">
        <v>1.0352103394263727</v>
      </c>
      <c r="E634" s="1100">
        <v>0.96182902439262541</v>
      </c>
      <c r="F634" s="1100">
        <v>1.0058707931933402</v>
      </c>
      <c r="G634" s="1100">
        <v>1.01604775924075</v>
      </c>
      <c r="H634" s="1100">
        <v>0.9926830795167465</v>
      </c>
      <c r="I634" s="1100">
        <v>1.0053966131880274</v>
      </c>
      <c r="K634">
        <v>1.1467703494906447</v>
      </c>
      <c r="L634">
        <v>0</v>
      </c>
      <c r="M634">
        <v>8.4228203749039021E-4</v>
      </c>
      <c r="N634">
        <v>6.9053616184102704E-2</v>
      </c>
      <c r="O634">
        <v>1.0121441774667665E-2</v>
      </c>
      <c r="P634">
        <v>1.3227284533058721E-2</v>
      </c>
      <c r="Q634">
        <v>4.2278824828930253E-4</v>
      </c>
      <c r="R634">
        <v>8.4040283968057439E-4</v>
      </c>
      <c r="S634">
        <v>7.1116085261492545E-2</v>
      </c>
      <c r="T634">
        <v>0.83505765112096364</v>
      </c>
      <c r="U634">
        <v>0</v>
      </c>
      <c r="V634">
        <v>9.259904272349008E-2</v>
      </c>
      <c r="W634">
        <v>4.6420512331168243E-2</v>
      </c>
      <c r="X634">
        <v>6.4665070203318593E-3</v>
      </c>
      <c r="Y634">
        <v>2.2872994908888782E-3</v>
      </c>
    </row>
    <row r="635" spans="1:25" x14ac:dyDescent="0.25">
      <c r="A635" s="1096"/>
      <c r="B635" s="1455">
        <v>385</v>
      </c>
      <c r="C635" s="1100">
        <v>0.99694495037278053</v>
      </c>
      <c r="D635" s="1100">
        <v>0.97526830754664084</v>
      </c>
      <c r="E635" s="1100">
        <v>0.98110030134015935</v>
      </c>
      <c r="F635" s="1100">
        <v>1.0173562765763409</v>
      </c>
      <c r="G635" s="1100">
        <v>1.0193276658624875</v>
      </c>
      <c r="H635" s="1100">
        <v>1.0253123828422619</v>
      </c>
      <c r="I635" s="1100">
        <v>1.0077761686390818</v>
      </c>
      <c r="K635">
        <v>1.1708646727850487</v>
      </c>
      <c r="L635">
        <v>0</v>
      </c>
      <c r="M635">
        <v>8.6505541401123414E-4</v>
      </c>
      <c r="N635">
        <v>7.5186976389870805E-2</v>
      </c>
      <c r="O635">
        <v>1.0479227176025506E-2</v>
      </c>
      <c r="P635">
        <v>1.3600743564494559E-2</v>
      </c>
      <c r="Q635">
        <v>4.4643376532305193E-4</v>
      </c>
      <c r="R635">
        <v>8.6318682709340207E-4</v>
      </c>
      <c r="S635">
        <v>7.5639238217445295E-2</v>
      </c>
      <c r="T635">
        <v>0.84327662040758888</v>
      </c>
      <c r="U635">
        <v>0</v>
      </c>
      <c r="V635">
        <v>9.2995470009177322E-2</v>
      </c>
      <c r="W635">
        <v>4.9954898574194884E-2</v>
      </c>
      <c r="X635">
        <v>6.9376232739577484E-3</v>
      </c>
      <c r="Y635">
        <v>2.3493099938871639E-3</v>
      </c>
    </row>
    <row r="636" spans="1:25" x14ac:dyDescent="0.25">
      <c r="A636" s="1096"/>
      <c r="B636" s="1455">
        <v>386</v>
      </c>
      <c r="C636" s="1100">
        <v>1.0138058392398273</v>
      </c>
      <c r="D636" s="1100">
        <v>1.032114232328287</v>
      </c>
      <c r="E636" s="1100">
        <v>1.0043634141725475</v>
      </c>
      <c r="F636" s="1100">
        <v>0.98355914766299124</v>
      </c>
      <c r="G636" s="1100">
        <v>1.0027370246703704</v>
      </c>
      <c r="H636" s="1100">
        <v>1.010729565614557</v>
      </c>
      <c r="I636" s="1100">
        <v>0.96813772391207664</v>
      </c>
      <c r="K636">
        <v>1.1281195257461973</v>
      </c>
      <c r="L636">
        <v>0</v>
      </c>
      <c r="M636">
        <v>7.8120436706822865E-4</v>
      </c>
      <c r="N636">
        <v>7.2843292072356791E-2</v>
      </c>
      <c r="O636">
        <v>1.0081459261084799E-2</v>
      </c>
      <c r="P636">
        <v>1.3328938927407106E-2</v>
      </c>
      <c r="Q636">
        <v>4.3969104923668605E-4</v>
      </c>
      <c r="R636">
        <v>7.7949255820565098E-4</v>
      </c>
      <c r="S636">
        <v>6.8880636665224551E-2</v>
      </c>
      <c r="T636">
        <v>0.81374232096441412</v>
      </c>
      <c r="U636">
        <v>0</v>
      </c>
      <c r="V636">
        <v>9.1875824439496129E-2</v>
      </c>
      <c r="W636">
        <v>4.772936376514092E-2</v>
      </c>
      <c r="X636">
        <v>7.0781886269144579E-3</v>
      </c>
      <c r="Y636">
        <v>2.1215217837830288E-3</v>
      </c>
    </row>
    <row r="637" spans="1:25" x14ac:dyDescent="0.25">
      <c r="A637" s="1096"/>
      <c r="B637" s="1455">
        <v>387</v>
      </c>
      <c r="C637" s="1100">
        <v>1.000508293168004</v>
      </c>
      <c r="D637" s="1100">
        <v>0.98551137326371485</v>
      </c>
      <c r="E637" s="1100">
        <v>0.97546498844555329</v>
      </c>
      <c r="F637" s="1100">
        <v>0.98953880361827096</v>
      </c>
      <c r="G637" s="1100">
        <v>1.002989933225678</v>
      </c>
      <c r="H637" s="1100">
        <v>1.009612625263987</v>
      </c>
      <c r="I637" s="1100">
        <v>0.9607191478125463</v>
      </c>
      <c r="K637">
        <v>1.1384278401458472</v>
      </c>
      <c r="L637">
        <v>0</v>
      </c>
      <c r="M637">
        <v>8.5514005461664281E-4</v>
      </c>
      <c r="N637">
        <v>7.306601631325102E-2</v>
      </c>
      <c r="O637">
        <v>1.0396509315689891E-2</v>
      </c>
      <c r="P637">
        <v>1.316416412550207E-2</v>
      </c>
      <c r="Q637">
        <v>4.4037781111865465E-4</v>
      </c>
      <c r="R637">
        <v>8.5326416165354781E-4</v>
      </c>
      <c r="S637">
        <v>7.0843848187468E-2</v>
      </c>
      <c r="T637">
        <v>0.82059209128256472</v>
      </c>
      <c r="U637">
        <v>0</v>
      </c>
      <c r="V637">
        <v>9.2207537225757155E-2</v>
      </c>
      <c r="W637">
        <v>4.8711409244713129E-2</v>
      </c>
      <c r="X637">
        <v>6.6854587631794788E-3</v>
      </c>
      <c r="Y637">
        <v>2.3223037695656629E-3</v>
      </c>
    </row>
    <row r="638" spans="1:25" x14ac:dyDescent="0.25">
      <c r="A638" s="1096"/>
      <c r="B638" s="1455">
        <v>388</v>
      </c>
      <c r="C638" s="1100">
        <v>1.0217130893617818</v>
      </c>
      <c r="D638" s="1100">
        <v>0.97718380252442727</v>
      </c>
      <c r="E638" s="1100">
        <v>0.99373229563625887</v>
      </c>
      <c r="F638" s="1100">
        <v>1.0219672929742498</v>
      </c>
      <c r="G638" s="1100">
        <v>0.98866844627739248</v>
      </c>
      <c r="H638" s="1100">
        <v>1.0248650148068628</v>
      </c>
      <c r="I638" s="1100">
        <v>0.99421546208678535</v>
      </c>
      <c r="K638">
        <v>1.1668187625836957</v>
      </c>
      <c r="L638">
        <v>0</v>
      </c>
      <c r="M638">
        <v>8.2129374912643814E-4</v>
      </c>
      <c r="N638">
        <v>7.4162871587803117E-2</v>
      </c>
      <c r="O638">
        <v>1.0221245867453438E-2</v>
      </c>
      <c r="P638">
        <v>1.3705932024615527E-2</v>
      </c>
      <c r="Q638">
        <v>4.4104677944664547E-4</v>
      </c>
      <c r="R638">
        <v>8.1951891640400052E-4</v>
      </c>
      <c r="S638">
        <v>7.2736225389631731E-2</v>
      </c>
      <c r="T638">
        <v>0.84623871823840136</v>
      </c>
      <c r="U638">
        <v>0</v>
      </c>
      <c r="V638">
        <v>9.1083618001834621E-2</v>
      </c>
      <c r="W638">
        <v>4.8902245863097694E-2</v>
      </c>
      <c r="X638">
        <v>7.0981733280211859E-3</v>
      </c>
      <c r="Y638">
        <v>2.2304603361135017E-3</v>
      </c>
    </row>
    <row r="639" spans="1:25" x14ac:dyDescent="0.25">
      <c r="A639" s="1096"/>
      <c r="B639" s="1455">
        <v>389</v>
      </c>
      <c r="C639" s="1100">
        <v>0.98625162914790687</v>
      </c>
      <c r="D639" s="1100">
        <v>1.0087043793910013</v>
      </c>
      <c r="E639" s="1100">
        <v>1.0040930926451419</v>
      </c>
      <c r="F639" s="1100">
        <v>0.99807492751025151</v>
      </c>
      <c r="G639" s="1100">
        <v>1.0143993440957624</v>
      </c>
      <c r="H639" s="1100">
        <v>1.0133709127660488</v>
      </c>
      <c r="I639" s="1100">
        <v>1.0113020577421254</v>
      </c>
      <c r="K639">
        <v>1.1531287440017255</v>
      </c>
      <c r="L639">
        <v>0</v>
      </c>
      <c r="M639">
        <v>8.1300722873093407E-4</v>
      </c>
      <c r="N639">
        <v>7.5747310553575573E-2</v>
      </c>
      <c r="O639">
        <v>1.0458569424125002E-2</v>
      </c>
      <c r="P639">
        <v>1.3589893537089575E-2</v>
      </c>
      <c r="Q639">
        <v>4.5601463142978961E-4</v>
      </c>
      <c r="R639">
        <v>8.11230375523514E-4</v>
      </c>
      <c r="S639">
        <v>7.4945506678627691E-2</v>
      </c>
      <c r="T639">
        <v>0.8257696977773521</v>
      </c>
      <c r="U639">
        <v>0</v>
      </c>
      <c r="V639">
        <v>9.3057364826387864E-2</v>
      </c>
      <c r="W639">
        <v>4.9640122092945861E-2</v>
      </c>
      <c r="X639">
        <v>7.2581396732461613E-3</v>
      </c>
      <c r="Y639">
        <v>2.207901660153585E-3</v>
      </c>
    </row>
    <row r="640" spans="1:25" x14ac:dyDescent="0.25">
      <c r="A640" s="1096"/>
      <c r="B640" s="1455">
        <v>390</v>
      </c>
      <c r="C640" s="1100">
        <v>0.99992721109656246</v>
      </c>
      <c r="D640" s="1100">
        <v>1.0207192517583061</v>
      </c>
      <c r="E640" s="1100">
        <v>0.99440667455346676</v>
      </c>
      <c r="F640" s="1100">
        <v>0.98574530879675648</v>
      </c>
      <c r="G640" s="1100">
        <v>0.99277049003565287</v>
      </c>
      <c r="H640" s="1100">
        <v>0.98293528692325394</v>
      </c>
      <c r="I640" s="1100">
        <v>0.97060482585706909</v>
      </c>
      <c r="K640">
        <v>1.128931757415808</v>
      </c>
      <c r="L640">
        <v>0</v>
      </c>
      <c r="M640">
        <v>7.8983862443017018E-4</v>
      </c>
      <c r="N640">
        <v>7.1461396715394046E-2</v>
      </c>
      <c r="O640">
        <v>1.0263645475315705E-2</v>
      </c>
      <c r="P640">
        <v>1.3268200568608965E-2</v>
      </c>
      <c r="Q640">
        <v>4.4317762618109661E-4</v>
      </c>
      <c r="R640">
        <v>7.8805895631666183E-4</v>
      </c>
      <c r="S640">
        <v>6.9313868453955541E-2</v>
      </c>
      <c r="T640">
        <v>0.8162010119451597</v>
      </c>
      <c r="U640">
        <v>0</v>
      </c>
      <c r="V640">
        <v>9.1787539091592124E-2</v>
      </c>
      <c r="W640">
        <v>4.7101949123490687E-2</v>
      </c>
      <c r="X640">
        <v>6.9479113886940927E-3</v>
      </c>
      <c r="Y640">
        <v>2.1448366955288231E-3</v>
      </c>
    </row>
    <row r="641" spans="1:25" x14ac:dyDescent="0.25">
      <c r="A641" s="1096"/>
      <c r="B641" s="1455">
        <v>391</v>
      </c>
      <c r="C641" s="1100">
        <v>1.0001338226834395</v>
      </c>
      <c r="D641" s="1100">
        <v>0.99894742939685555</v>
      </c>
      <c r="E641" s="1100">
        <v>1.0079520386478908</v>
      </c>
      <c r="F641" s="1100">
        <v>0.9976102054729129</v>
      </c>
      <c r="G641" s="1100">
        <v>0.99405986315583295</v>
      </c>
      <c r="H641" s="1100">
        <v>1.021743068904295</v>
      </c>
      <c r="I641" s="1100">
        <v>1.0065611846352955</v>
      </c>
      <c r="K641">
        <v>1.1506262561248806</v>
      </c>
      <c r="L641">
        <v>0</v>
      </c>
      <c r="M641">
        <v>8.0501911977139389E-4</v>
      </c>
      <c r="N641">
        <v>7.588359082869664E-2</v>
      </c>
      <c r="O641">
        <v>1.0354841437324857E-2</v>
      </c>
      <c r="P641">
        <v>1.3594211980625558E-2</v>
      </c>
      <c r="Q641">
        <v>4.5324074509552758E-4</v>
      </c>
      <c r="R641">
        <v>8.0327414130150498E-4</v>
      </c>
      <c r="S641">
        <v>7.4273633673432593E-2</v>
      </c>
      <c r="T641">
        <v>0.82513108528357648</v>
      </c>
      <c r="U641">
        <v>0</v>
      </c>
      <c r="V641">
        <v>9.1839635736456177E-2</v>
      </c>
      <c r="W641">
        <v>4.9616045148100189E-2</v>
      </c>
      <c r="X641">
        <v>7.2954688566679833E-3</v>
      </c>
      <c r="Y641">
        <v>2.186247413373183E-3</v>
      </c>
    </row>
    <row r="642" spans="1:25" x14ac:dyDescent="0.25">
      <c r="A642" s="1096"/>
      <c r="B642" s="1455">
        <v>392</v>
      </c>
      <c r="C642" s="1100">
        <v>1.0347843022990293</v>
      </c>
      <c r="D642" s="1100">
        <v>1.01030276536062</v>
      </c>
      <c r="E642" s="1100">
        <v>1.0042286536059244</v>
      </c>
      <c r="F642" s="1100">
        <v>1.0192564579512018</v>
      </c>
      <c r="G642" s="1100">
        <v>1.0012943350068593</v>
      </c>
      <c r="H642" s="1100">
        <v>1.0035145473197418</v>
      </c>
      <c r="I642" s="1100">
        <v>0.99747984584591343</v>
      </c>
      <c r="K642">
        <v>1.1562956598669782</v>
      </c>
      <c r="L642">
        <v>0</v>
      </c>
      <c r="M642">
        <v>7.6663791288205372E-4</v>
      </c>
      <c r="N642">
        <v>7.1454827492201042E-2</v>
      </c>
      <c r="O642">
        <v>9.9617810947773763E-3</v>
      </c>
      <c r="P642">
        <v>1.3739434701120962E-2</v>
      </c>
      <c r="Q642">
        <v>4.3441271684819616E-4</v>
      </c>
      <c r="R642">
        <v>7.6494594467514481E-4</v>
      </c>
      <c r="S642">
        <v>7.0012230427143038E-2</v>
      </c>
      <c r="T642">
        <v>0.84328537130402259</v>
      </c>
      <c r="U642">
        <v>0</v>
      </c>
      <c r="V642">
        <v>9.1318507011281802E-2</v>
      </c>
      <c r="W642">
        <v>4.6823332726501715E-2</v>
      </c>
      <c r="X642">
        <v>7.1855236642447426E-3</v>
      </c>
      <c r="Y642">
        <v>2.0819306970428528E-3</v>
      </c>
    </row>
    <row r="643" spans="1:25" x14ac:dyDescent="0.25">
      <c r="A643" s="1096"/>
      <c r="B643" s="1455">
        <v>393</v>
      </c>
      <c r="C643" s="1100">
        <v>0.98052075710082154</v>
      </c>
      <c r="D643" s="1100">
        <v>0.99586905010272397</v>
      </c>
      <c r="E643" s="1100">
        <v>1.0096989684040989</v>
      </c>
      <c r="F643" s="1100">
        <v>0.99238729516863788</v>
      </c>
      <c r="G643" s="1100">
        <v>1.0162352251051778</v>
      </c>
      <c r="H643" s="1100">
        <v>1.0285622998144111</v>
      </c>
      <c r="I643" s="1100">
        <v>0.9638617762343582</v>
      </c>
      <c r="K643">
        <v>1.1502973227009619</v>
      </c>
      <c r="L643">
        <v>0</v>
      </c>
      <c r="M643">
        <v>8.2462537899109301E-4</v>
      </c>
      <c r="N643">
        <v>7.814393677064424E-2</v>
      </c>
      <c r="O643">
        <v>1.057559850310146E-2</v>
      </c>
      <c r="P643">
        <v>1.355239045326943E-2</v>
      </c>
      <c r="Q643">
        <v>4.6371308014379393E-4</v>
      </c>
      <c r="R643">
        <v>8.228497522675852E-4</v>
      </c>
      <c r="S643">
        <v>7.2935515986935609E-2</v>
      </c>
      <c r="T643">
        <v>0.82069689701529769</v>
      </c>
      <c r="U643">
        <v>0</v>
      </c>
      <c r="V643">
        <v>9.3283581903223806E-2</v>
      </c>
      <c r="W643">
        <v>5.1041304576045846E-2</v>
      </c>
      <c r="X643">
        <v>7.3666342656983656E-3</v>
      </c>
      <c r="Y643">
        <v>2.2395257733244327E-3</v>
      </c>
    </row>
    <row r="644" spans="1:25" x14ac:dyDescent="0.25">
      <c r="A644" s="1096"/>
      <c r="B644" s="1455">
        <v>394</v>
      </c>
      <c r="C644" s="1100">
        <v>0.97617657445671546</v>
      </c>
      <c r="D644" s="1100">
        <v>1.0128845270521256</v>
      </c>
      <c r="E644" s="1100">
        <v>0.96995589952796324</v>
      </c>
      <c r="F644" s="1100">
        <v>1.0126049005381956</v>
      </c>
      <c r="G644" s="1100">
        <v>0.95558649980662769</v>
      </c>
      <c r="H644" s="1100">
        <v>0.99355921073984033</v>
      </c>
      <c r="I644" s="1100">
        <v>1.0176526701145514</v>
      </c>
      <c r="K644">
        <v>1.1605006173087229</v>
      </c>
      <c r="L644">
        <v>0</v>
      </c>
      <c r="M644">
        <v>8.6288069178548491E-4</v>
      </c>
      <c r="N644">
        <v>7.2505428914849387E-2</v>
      </c>
      <c r="O644">
        <v>1.053768334027322E-2</v>
      </c>
      <c r="P644">
        <v>1.3407323108777982E-2</v>
      </c>
      <c r="Q644">
        <v>4.4385521874521264E-4</v>
      </c>
      <c r="R644">
        <v>8.6095723437203445E-4</v>
      </c>
      <c r="S644">
        <v>7.5155948832139288E-2</v>
      </c>
      <c r="T644">
        <v>0.8400943000875758</v>
      </c>
      <c r="U644">
        <v>0</v>
      </c>
      <c r="V644">
        <v>9.0796375721147793E-2</v>
      </c>
      <c r="W644">
        <v>4.8499678242648329E-2</v>
      </c>
      <c r="X644">
        <v>6.7187055224930776E-3</v>
      </c>
      <c r="Y644">
        <v>2.3432417774846442E-3</v>
      </c>
    </row>
    <row r="645" spans="1:25" x14ac:dyDescent="0.25">
      <c r="A645" s="1096"/>
      <c r="B645" s="1455">
        <v>395</v>
      </c>
      <c r="C645" s="1100">
        <v>0.98573850768873261</v>
      </c>
      <c r="D645" s="1100">
        <v>0.9797623873520025</v>
      </c>
      <c r="E645" s="1100">
        <v>0.9918308106169873</v>
      </c>
      <c r="F645" s="1100">
        <v>1.0368903705421757</v>
      </c>
      <c r="G645" s="1100">
        <v>0.99341736596836405</v>
      </c>
      <c r="H645" s="1100">
        <v>0.98634199152662205</v>
      </c>
      <c r="I645" s="1100">
        <v>1.0219567307639714</v>
      </c>
      <c r="K645">
        <v>1.1834908513804265</v>
      </c>
      <c r="L645">
        <v>0</v>
      </c>
      <c r="M645">
        <v>8.2163673654485879E-4</v>
      </c>
      <c r="N645">
        <v>7.3762372350496569E-2</v>
      </c>
      <c r="O645">
        <v>1.0582473166665338E-2</v>
      </c>
      <c r="P645">
        <v>1.3911164116357526E-2</v>
      </c>
      <c r="Q645">
        <v>4.5575830180454973E-4</v>
      </c>
      <c r="R645">
        <v>8.1979181499341341E-4</v>
      </c>
      <c r="S645">
        <v>7.5749440740278312E-2</v>
      </c>
      <c r="T645">
        <v>0.85872674588774178</v>
      </c>
      <c r="U645">
        <v>0</v>
      </c>
      <c r="V645">
        <v>9.2171519332022278E-2</v>
      </c>
      <c r="W645">
        <v>4.8693474398747834E-2</v>
      </c>
      <c r="X645">
        <v>7.2085449317497736E-3</v>
      </c>
      <c r="Y645">
        <v>2.2312030761128887E-3</v>
      </c>
    </row>
    <row r="646" spans="1:25" x14ac:dyDescent="0.25">
      <c r="A646" s="1096"/>
      <c r="B646" s="1455">
        <v>396</v>
      </c>
      <c r="C646" s="1100">
        <v>0.96312797000126904</v>
      </c>
      <c r="D646" s="1100">
        <v>1.0253357853724043</v>
      </c>
      <c r="E646" s="1100">
        <v>0.97727731928556116</v>
      </c>
      <c r="F646" s="1100">
        <v>1.0105030866898099</v>
      </c>
      <c r="G646" s="1100">
        <v>0.99861400058441474</v>
      </c>
      <c r="H646" s="1100">
        <v>1.0316976851480866</v>
      </c>
      <c r="I646" s="1100">
        <v>1.0434165926272778</v>
      </c>
      <c r="K646">
        <v>1.1714618829389074</v>
      </c>
      <c r="L646">
        <v>0</v>
      </c>
      <c r="M646">
        <v>8.9015013523770204E-4</v>
      </c>
      <c r="N646">
        <v>7.6479311425936253E-2</v>
      </c>
      <c r="O646">
        <v>1.0630832374616735E-2</v>
      </c>
      <c r="P646">
        <v>1.3537336026634981E-2</v>
      </c>
      <c r="Q646">
        <v>4.5113524879273687E-4</v>
      </c>
      <c r="R646">
        <v>8.882392421742509E-4</v>
      </c>
      <c r="S646">
        <v>7.9287185147494332E-2</v>
      </c>
      <c r="T646">
        <v>0.83785443853553732</v>
      </c>
      <c r="U646">
        <v>0</v>
      </c>
      <c r="V646">
        <v>9.2981637209242268E-2</v>
      </c>
      <c r="W646">
        <v>5.0931046953531206E-2</v>
      </c>
      <c r="X646">
        <v>6.8933765009748489E-3</v>
      </c>
      <c r="Y646">
        <v>2.417494409210822E-3</v>
      </c>
    </row>
    <row r="647" spans="1:25" x14ac:dyDescent="0.25">
      <c r="A647" s="1096"/>
      <c r="B647" s="1455">
        <v>397</v>
      </c>
      <c r="C647" s="1100">
        <v>1.0218420416356306</v>
      </c>
      <c r="D647" s="1100">
        <v>0.9726842229867394</v>
      </c>
      <c r="E647" s="1100">
        <v>0.98356838826560233</v>
      </c>
      <c r="F647" s="1100">
        <v>1.0248749991270578</v>
      </c>
      <c r="G647" s="1100">
        <v>0.99331758498741052</v>
      </c>
      <c r="H647" s="1100">
        <v>1.0204119350777145</v>
      </c>
      <c r="I647" s="1100">
        <v>0.97344272701217816</v>
      </c>
      <c r="K647">
        <v>1.1671552273621217</v>
      </c>
      <c r="L647">
        <v>0</v>
      </c>
      <c r="M647">
        <v>8.3655466868857097E-4</v>
      </c>
      <c r="N647">
        <v>7.3253955664079384E-2</v>
      </c>
      <c r="O647">
        <v>1.0235554709273677E-2</v>
      </c>
      <c r="P647">
        <v>1.3624752499823168E-2</v>
      </c>
      <c r="Q647">
        <v>4.3714669808000002E-4</v>
      </c>
      <c r="R647">
        <v>8.347389675096784E-4</v>
      </c>
      <c r="S647">
        <v>7.1189991160093238E-2</v>
      </c>
      <c r="T647">
        <v>0.84933990561953288</v>
      </c>
      <c r="U647">
        <v>0</v>
      </c>
      <c r="V647">
        <v>9.1277958303104492E-2</v>
      </c>
      <c r="W647">
        <v>4.8598236989491533E-2</v>
      </c>
      <c r="X647">
        <v>6.9276571218866026E-3</v>
      </c>
      <c r="Y647">
        <v>2.2718842979346592E-3</v>
      </c>
    </row>
    <row r="648" spans="1:25" x14ac:dyDescent="0.25">
      <c r="A648" s="1096"/>
      <c r="B648" s="1455">
        <v>398</v>
      </c>
      <c r="C648" s="1100">
        <v>1.020106010058883</v>
      </c>
      <c r="D648" s="1100">
        <v>1.0215481984903805</v>
      </c>
      <c r="E648" s="1100">
        <v>0.97525108253043791</v>
      </c>
      <c r="F648" s="1100">
        <v>1.03756076309631</v>
      </c>
      <c r="G648" s="1100">
        <v>0.9794519307132139</v>
      </c>
      <c r="H648" s="1100">
        <v>0.99888890449112266</v>
      </c>
      <c r="I648" s="1100">
        <v>1.0246620888842792</v>
      </c>
      <c r="K648">
        <v>1.1731257312404899</v>
      </c>
      <c r="L648">
        <v>0</v>
      </c>
      <c r="M648">
        <v>8.1832932410852216E-4</v>
      </c>
      <c r="N648">
        <v>6.9873881597454543E-2</v>
      </c>
      <c r="O648">
        <v>1.0051274100087949E-2</v>
      </c>
      <c r="P648">
        <v>1.3694913675637483E-2</v>
      </c>
      <c r="Q648">
        <v>4.2566146168731992E-4</v>
      </c>
      <c r="R648">
        <v>8.16514909629806E-4</v>
      </c>
      <c r="S648">
        <v>7.232094282187243E-2</v>
      </c>
      <c r="T648">
        <v>0.86042999852668955</v>
      </c>
      <c r="U648">
        <v>0</v>
      </c>
      <c r="V648">
        <v>9.0725118672370361E-2</v>
      </c>
      <c r="W648">
        <v>4.6589326809838572E-2</v>
      </c>
      <c r="X648">
        <v>6.7941435693868579E-3</v>
      </c>
      <c r="Y648">
        <v>2.2222844199447124E-3</v>
      </c>
    </row>
    <row r="649" spans="1:25" x14ac:dyDescent="0.25">
      <c r="A649" s="1096"/>
      <c r="B649" s="1455">
        <v>399</v>
      </c>
      <c r="C649" s="1100">
        <v>0.98040726909608955</v>
      </c>
      <c r="D649" s="1100">
        <v>0.97452910686512828</v>
      </c>
      <c r="E649" s="1100">
        <v>1.0107288773472674</v>
      </c>
      <c r="F649" s="1100">
        <v>1.0399131271290689</v>
      </c>
      <c r="G649" s="1100">
        <v>1.0044895322677732</v>
      </c>
      <c r="H649" s="1100">
        <v>0.96824888412602217</v>
      </c>
      <c r="I649" s="1100">
        <v>1.0335994093871075</v>
      </c>
      <c r="K649">
        <v>1.1869229893090667</v>
      </c>
      <c r="L649">
        <v>0</v>
      </c>
      <c r="M649">
        <v>7.8144258146371087E-4</v>
      </c>
      <c r="N649">
        <v>7.4272425878167916E-2</v>
      </c>
      <c r="O649">
        <v>1.0669212263468392E-2</v>
      </c>
      <c r="P649">
        <v>1.4143696963895199E-2</v>
      </c>
      <c r="Q649">
        <v>4.6829963209864652E-4</v>
      </c>
      <c r="R649">
        <v>7.7965512428937445E-4</v>
      </c>
      <c r="S649">
        <v>7.6481035356561033E-2</v>
      </c>
      <c r="T649">
        <v>0.85992985391868115</v>
      </c>
      <c r="U649">
        <v>0</v>
      </c>
      <c r="V649">
        <v>9.2784582303086324E-2</v>
      </c>
      <c r="W649">
        <v>4.848309996901113E-2</v>
      </c>
      <c r="X649">
        <v>7.5706062461959201E-3</v>
      </c>
      <c r="Y649">
        <v>2.1219642350730292E-3</v>
      </c>
    </row>
    <row r="650" spans="1:25" x14ac:dyDescent="0.25">
      <c r="A650" s="1096"/>
      <c r="B650" s="1455">
        <v>400</v>
      </c>
      <c r="C650" s="1100">
        <v>1.0011928604052458</v>
      </c>
      <c r="D650" s="1100">
        <v>1.0181999936666986</v>
      </c>
      <c r="E650" s="1100">
        <v>1.003536542362548</v>
      </c>
      <c r="F650" s="1100">
        <v>1.0033095973066279</v>
      </c>
      <c r="G650" s="1100">
        <v>0.98111446339692299</v>
      </c>
      <c r="H650" s="1100">
        <v>1.0206094672377692</v>
      </c>
      <c r="I650" s="1100">
        <v>0.99193470852007737</v>
      </c>
      <c r="K650">
        <v>1.1513212341688777</v>
      </c>
      <c r="L650">
        <v>0</v>
      </c>
      <c r="M650">
        <v>8.0450648894433432E-4</v>
      </c>
      <c r="N650">
        <v>7.4830571994299669E-2</v>
      </c>
      <c r="O650">
        <v>1.0263770961596311E-2</v>
      </c>
      <c r="P650">
        <v>1.3583927257875028E-2</v>
      </c>
      <c r="Q650">
        <v>4.4727126679802313E-4</v>
      </c>
      <c r="R650">
        <v>8.0276068473341864E-4</v>
      </c>
      <c r="S650">
        <v>7.2355599911633983E-2</v>
      </c>
      <c r="T650">
        <v>0.83013756612110301</v>
      </c>
      <c r="U650">
        <v>0</v>
      </c>
      <c r="V650">
        <v>9.1259298493983426E-2</v>
      </c>
      <c r="W650">
        <v>4.9055523390216793E-2</v>
      </c>
      <c r="X650">
        <v>7.2046006217270772E-3</v>
      </c>
      <c r="Y650">
        <v>2.1848499538557643E-3</v>
      </c>
    </row>
    <row r="651" spans="1:25" x14ac:dyDescent="0.25">
      <c r="A651" s="1096"/>
      <c r="B651" s="1455">
        <v>401</v>
      </c>
      <c r="C651" s="1100">
        <v>0.99254229045205622</v>
      </c>
      <c r="D651" s="1100">
        <v>0.9796195272652849</v>
      </c>
      <c r="E651" s="1100">
        <v>0.99211907263954091</v>
      </c>
      <c r="F651" s="1100">
        <v>1.0093444547647032</v>
      </c>
      <c r="G651" s="1100">
        <v>0.97717988699686498</v>
      </c>
      <c r="H651" s="1100">
        <v>1.0313584959482971</v>
      </c>
      <c r="I651" s="1100">
        <v>1.0270496684068195</v>
      </c>
      <c r="K651">
        <v>1.1659417729054595</v>
      </c>
      <c r="L651">
        <v>0</v>
      </c>
      <c r="M651">
        <v>8.527871586707581E-4</v>
      </c>
      <c r="N651">
        <v>7.663316948331958E-2</v>
      </c>
      <c r="O651">
        <v>1.0510640091500441E-2</v>
      </c>
      <c r="P651">
        <v>1.3617081570623139E-2</v>
      </c>
      <c r="Q651">
        <v>4.5279641238025618E-4</v>
      </c>
      <c r="R651">
        <v>8.5095587096633836E-4</v>
      </c>
      <c r="S651">
        <v>7.75216572086702E-2</v>
      </c>
      <c r="T651">
        <v>0.8358945671529574</v>
      </c>
      <c r="U651">
        <v>0</v>
      </c>
      <c r="V651">
        <v>9.1304955107080255E-2</v>
      </c>
      <c r="W651">
        <v>5.0579880133152323E-2</v>
      </c>
      <c r="X651">
        <v>7.1128356702376159E-3</v>
      </c>
      <c r="Y651">
        <v>2.3160213632428994E-3</v>
      </c>
    </row>
    <row r="652" spans="1:25" x14ac:dyDescent="0.25">
      <c r="A652" s="1096"/>
      <c r="B652" s="1455">
        <v>402</v>
      </c>
      <c r="C652" s="1100">
        <v>0.97810731439899246</v>
      </c>
      <c r="D652" s="1100">
        <v>1.0101675669015042</v>
      </c>
      <c r="E652" s="1100">
        <v>0.99852900700194003</v>
      </c>
      <c r="F652" s="1100">
        <v>1.0096016209136374</v>
      </c>
      <c r="G652" s="1100">
        <v>0.96918544051375188</v>
      </c>
      <c r="H652" s="1100">
        <v>1.0053208135565401</v>
      </c>
      <c r="I652" s="1100">
        <v>0.98278823500729406</v>
      </c>
      <c r="K652">
        <v>1.1589649409715235</v>
      </c>
      <c r="L652">
        <v>0</v>
      </c>
      <c r="M652">
        <v>8.2223043272805485E-4</v>
      </c>
      <c r="N652">
        <v>7.532841374624355E-2</v>
      </c>
      <c r="O652">
        <v>1.0537686426769523E-2</v>
      </c>
      <c r="P652">
        <v>1.3619176419269748E-2</v>
      </c>
      <c r="Q652">
        <v>4.5690357687207229E-4</v>
      </c>
      <c r="R652">
        <v>8.2041903236316116E-4</v>
      </c>
      <c r="S652">
        <v>7.3050021987534325E-2</v>
      </c>
      <c r="T652">
        <v>0.83567811813755266</v>
      </c>
      <c r="U652">
        <v>0</v>
      </c>
      <c r="V652">
        <v>9.1332693621646491E-2</v>
      </c>
      <c r="W652">
        <v>4.9528955342698251E-2</v>
      </c>
      <c r="X652">
        <v>7.201872958270278E-3</v>
      </c>
      <c r="Y652">
        <v>2.2329101550311913E-3</v>
      </c>
    </row>
    <row r="653" spans="1:25" x14ac:dyDescent="0.25">
      <c r="A653" s="1096"/>
      <c r="B653" s="1455">
        <v>403</v>
      </c>
      <c r="C653" s="1100">
        <v>0.99416404867513974</v>
      </c>
      <c r="D653" s="1100">
        <v>0.96035187537196365</v>
      </c>
      <c r="E653" s="1100">
        <v>1.0020326492149931</v>
      </c>
      <c r="F653" s="1100">
        <v>1.0223658905122313</v>
      </c>
      <c r="G653" s="1100">
        <v>1.0423879428866185</v>
      </c>
      <c r="H653" s="1100">
        <v>0.99872135503232595</v>
      </c>
      <c r="I653" s="1100">
        <v>1.0130347199026295</v>
      </c>
      <c r="K653">
        <v>1.1751204843416232</v>
      </c>
      <c r="L653">
        <v>0</v>
      </c>
      <c r="M653">
        <v>8.1412379213107974E-4</v>
      </c>
      <c r="N653">
        <v>7.5378312401210623E-2</v>
      </c>
      <c r="O653">
        <v>1.0580521152708191E-2</v>
      </c>
      <c r="P653">
        <v>1.3870019274169658E-2</v>
      </c>
      <c r="Q653">
        <v>4.6037910321087628E-4</v>
      </c>
      <c r="R653">
        <v>8.1231839940437028E-4</v>
      </c>
      <c r="S653">
        <v>7.5756965683267202E-2</v>
      </c>
      <c r="T653">
        <v>0.84600638107476223</v>
      </c>
      <c r="U653">
        <v>0</v>
      </c>
      <c r="V653">
        <v>9.4053626616836181E-2</v>
      </c>
      <c r="W653">
        <v>4.9458688146656743E-2</v>
      </c>
      <c r="X653">
        <v>7.3465333790373013E-3</v>
      </c>
      <c r="Y653">
        <v>2.2108629024902996E-3</v>
      </c>
    </row>
    <row r="654" spans="1:25" x14ac:dyDescent="0.25">
      <c r="A654" s="1096"/>
      <c r="B654" s="1455">
        <v>404</v>
      </c>
      <c r="C654" s="1100">
        <v>1.0167041396368837</v>
      </c>
      <c r="D654" s="1100">
        <v>1.0287274742770269</v>
      </c>
      <c r="E654" s="1100">
        <v>1.006823992788989</v>
      </c>
      <c r="F654" s="1100">
        <v>1.0257088945868902</v>
      </c>
      <c r="G654" s="1100">
        <v>0.99417505967174835</v>
      </c>
      <c r="H654" s="1100">
        <v>1.002588175934386</v>
      </c>
      <c r="I654" s="1100">
        <v>1.0011914873427685</v>
      </c>
      <c r="K654">
        <v>1.164071812829468</v>
      </c>
      <c r="L654">
        <v>0</v>
      </c>
      <c r="M654">
        <v>7.6977691887461302E-4</v>
      </c>
      <c r="N654">
        <v>7.2311810489156025E-2</v>
      </c>
      <c r="O654">
        <v>1.0066729201058109E-2</v>
      </c>
      <c r="P654">
        <v>1.3849570287005829E-2</v>
      </c>
      <c r="Q654">
        <v>4.4013250539984581E-4</v>
      </c>
      <c r="R654">
        <v>7.6807645314245305E-4</v>
      </c>
      <c r="S654">
        <v>7.0829165876063305E-2</v>
      </c>
      <c r="T654">
        <v>0.84844805254702027</v>
      </c>
      <c r="U654">
        <v>0</v>
      </c>
      <c r="V654">
        <v>9.1440477177717749E-2</v>
      </c>
      <c r="W654">
        <v>4.7312182859210523E-2</v>
      </c>
      <c r="X654">
        <v>7.2849414434482274E-3</v>
      </c>
      <c r="Y654">
        <v>2.0904509091190268E-3</v>
      </c>
    </row>
    <row r="655" spans="1:25" x14ac:dyDescent="0.25">
      <c r="A655" s="1096"/>
      <c r="B655" s="1455">
        <v>405</v>
      </c>
      <c r="C655" s="1100">
        <v>1.0027125642122463</v>
      </c>
      <c r="D655" s="1100">
        <v>0.97392126837903281</v>
      </c>
      <c r="E655" s="1100">
        <v>0.98476975451074578</v>
      </c>
      <c r="F655" s="1100">
        <v>0.97043824017216795</v>
      </c>
      <c r="G655" s="1100">
        <v>1.0171715215417425</v>
      </c>
      <c r="H655" s="1100">
        <v>0.98310064764938687</v>
      </c>
      <c r="I655" s="1100">
        <v>0.99606964250353236</v>
      </c>
      <c r="K655">
        <v>1.1221853735955085</v>
      </c>
      <c r="L655">
        <v>0</v>
      </c>
      <c r="M655">
        <v>8.1888651989894031E-4</v>
      </c>
      <c r="N655">
        <v>7.1961923996160346E-2</v>
      </c>
      <c r="O655">
        <v>1.0425919555395785E-2</v>
      </c>
      <c r="P655">
        <v>1.3068071700273326E-2</v>
      </c>
      <c r="Q655">
        <v>4.4581970718181714E-4</v>
      </c>
      <c r="R655">
        <v>8.1704171128538108E-4</v>
      </c>
      <c r="S655">
        <v>7.2663979613735136E-2</v>
      </c>
      <c r="T655">
        <v>0.80414900041383619</v>
      </c>
      <c r="U655">
        <v>0</v>
      </c>
      <c r="V655">
        <v>9.2760769057086301E-2</v>
      </c>
      <c r="W655">
        <v>4.7706570301533642E-2</v>
      </c>
      <c r="X655">
        <v>6.7814458585285196E-3</v>
      </c>
      <c r="Y655">
        <v>2.2237182003910683E-3</v>
      </c>
    </row>
    <row r="656" spans="1:25" x14ac:dyDescent="0.25">
      <c r="A656" s="1096"/>
      <c r="B656" s="1455">
        <v>406</v>
      </c>
      <c r="C656" s="1100">
        <v>1.0230072335838993</v>
      </c>
      <c r="D656" s="1100">
        <v>0.97353169303885534</v>
      </c>
      <c r="E656" s="1100">
        <v>1.0433499688001486</v>
      </c>
      <c r="F656" s="1100">
        <v>0.9765167928605305</v>
      </c>
      <c r="G656" s="1100">
        <v>1.0133680980511985</v>
      </c>
      <c r="H656" s="1100">
        <v>0.97955007456765808</v>
      </c>
      <c r="I656" s="1100">
        <v>1.0090507875163679</v>
      </c>
      <c r="K656">
        <v>1.1254984965554131</v>
      </c>
      <c r="L656">
        <v>0</v>
      </c>
      <c r="M656">
        <v>7.0816496869827302E-4</v>
      </c>
      <c r="N656">
        <v>7.4266624981581944E-2</v>
      </c>
      <c r="O656">
        <v>1.023970735777948E-2</v>
      </c>
      <c r="P656">
        <v>1.3645935461175216E-2</v>
      </c>
      <c r="Q656">
        <v>4.6420420831138725E-4</v>
      </c>
      <c r="R656">
        <v>7.0656381370054911E-4</v>
      </c>
      <c r="S656">
        <v>7.208973688435151E-2</v>
      </c>
      <c r="T656">
        <v>0.80542481936171084</v>
      </c>
      <c r="U656">
        <v>0</v>
      </c>
      <c r="V656">
        <v>9.2116295515122876E-2</v>
      </c>
      <c r="W656">
        <v>4.756783125790736E-2</v>
      </c>
      <c r="X656">
        <v>7.7619089002756237E-3</v>
      </c>
      <c r="Y656">
        <v>1.9230337821943058E-3</v>
      </c>
    </row>
    <row r="657" spans="1:25" x14ac:dyDescent="0.25">
      <c r="A657" s="1096"/>
      <c r="B657" s="1455">
        <v>407</v>
      </c>
      <c r="C657" s="1100">
        <v>1.0317116232629491</v>
      </c>
      <c r="D657" s="1100">
        <v>1.0067401837373371</v>
      </c>
      <c r="E657" s="1100">
        <v>0.99379270656633423</v>
      </c>
      <c r="F657" s="1100">
        <v>0.98898294410393572</v>
      </c>
      <c r="G657" s="1100">
        <v>0.97421991204178027</v>
      </c>
      <c r="H657" s="1100">
        <v>1.0258690270978605</v>
      </c>
      <c r="I657" s="1100">
        <v>1.0152018660070488</v>
      </c>
      <c r="K657">
        <v>1.1350363151254612</v>
      </c>
      <c r="L657">
        <v>0</v>
      </c>
      <c r="M657">
        <v>8.0438427982572943E-4</v>
      </c>
      <c r="N657">
        <v>7.2649363942058037E-2</v>
      </c>
      <c r="O657">
        <v>1.0002276146563153E-2</v>
      </c>
      <c r="P657">
        <v>1.3320846669558918E-2</v>
      </c>
      <c r="Q657">
        <v>4.3162453535705353E-4</v>
      </c>
      <c r="R657">
        <v>8.0264769007074108E-4</v>
      </c>
      <c r="S657">
        <v>7.2478310797224901E-2</v>
      </c>
      <c r="T657">
        <v>0.81892210257677589</v>
      </c>
      <c r="U657">
        <v>0</v>
      </c>
      <c r="V657">
        <v>9.0230798196990369E-2</v>
      </c>
      <c r="W657">
        <v>4.7902525796507216E-2</v>
      </c>
      <c r="X657">
        <v>6.9156606345474655E-3</v>
      </c>
      <c r="Y657">
        <v>2.1845424196326366E-3</v>
      </c>
    </row>
    <row r="658" spans="1:25" x14ac:dyDescent="0.25">
      <c r="A658" s="1096"/>
      <c r="B658" s="1455">
        <v>408</v>
      </c>
      <c r="C658" s="1100">
        <v>1.001149102699056</v>
      </c>
      <c r="D658" s="1100">
        <v>0.99114810309132795</v>
      </c>
      <c r="E658" s="1100">
        <v>1.0264262314590256</v>
      </c>
      <c r="F658" s="1100">
        <v>0.99283765300680316</v>
      </c>
      <c r="G658" s="1100">
        <v>0.9953165949670717</v>
      </c>
      <c r="H658" s="1100">
        <v>1.0396533289199135</v>
      </c>
      <c r="I658" s="1100">
        <v>0.99912115000392765</v>
      </c>
      <c r="K658">
        <v>1.1505443600259735</v>
      </c>
      <c r="L658">
        <v>0</v>
      </c>
      <c r="M658">
        <v>7.8992799290740847E-4</v>
      </c>
      <c r="N658">
        <v>7.8732639223853013E-2</v>
      </c>
      <c r="O658">
        <v>1.0382900788545793E-2</v>
      </c>
      <c r="P658">
        <v>1.3714928111726615E-2</v>
      </c>
      <c r="Q658">
        <v>4.6290605199275734E-4</v>
      </c>
      <c r="R658">
        <v>7.8824522378779518E-4</v>
      </c>
      <c r="S658">
        <v>7.469826049288103E-2</v>
      </c>
      <c r="T658">
        <v>0.81997956748998702</v>
      </c>
      <c r="U658">
        <v>0</v>
      </c>
      <c r="V658">
        <v>9.1871282901038367E-2</v>
      </c>
      <c r="W658">
        <v>5.0924247246684998E-2</v>
      </c>
      <c r="X658">
        <v>7.6339668342020111E-3</v>
      </c>
      <c r="Y658">
        <v>2.145343654182192E-3</v>
      </c>
    </row>
    <row r="659" spans="1:25" x14ac:dyDescent="0.25">
      <c r="A659" s="1096"/>
      <c r="B659" s="1455">
        <v>409</v>
      </c>
      <c r="C659" s="1100">
        <v>0.97911245969453831</v>
      </c>
      <c r="D659" s="1100">
        <v>1.0029992012613442</v>
      </c>
      <c r="E659" s="1100">
        <v>1.0373275256845074</v>
      </c>
      <c r="F659" s="1100">
        <v>0.98317185881962454</v>
      </c>
      <c r="G659" s="1100">
        <v>1.022740746507516</v>
      </c>
      <c r="H659" s="1100">
        <v>1.0026587474702353</v>
      </c>
      <c r="I659" s="1100">
        <v>1.0331175457952122</v>
      </c>
      <c r="K659">
        <v>1.1447399798712943</v>
      </c>
      <c r="L659">
        <v>0</v>
      </c>
      <c r="M659">
        <v>7.5785364946418746E-4</v>
      </c>
      <c r="N659">
        <v>7.8052818329590309E-2</v>
      </c>
      <c r="O659">
        <v>1.056988758797346E-2</v>
      </c>
      <c r="P659">
        <v>1.3757810826220762E-2</v>
      </c>
      <c r="Q659">
        <v>4.7634385031508354E-4</v>
      </c>
      <c r="R659">
        <v>7.5617964050829533E-4</v>
      </c>
      <c r="S659">
        <v>7.6926901241394285E-2</v>
      </c>
      <c r="T659">
        <v>0.81129813811551854</v>
      </c>
      <c r="U659">
        <v>0</v>
      </c>
      <c r="V659">
        <v>9.3602513286471595E-2</v>
      </c>
      <c r="W659">
        <v>5.0166550864903792E-2</v>
      </c>
      <c r="X659">
        <v>7.8326180709482121E-3</v>
      </c>
      <c r="Y659">
        <v>2.0580717069120804E-3</v>
      </c>
    </row>
    <row r="660" spans="1:25" x14ac:dyDescent="0.25">
      <c r="A660" s="1096"/>
      <c r="B660" s="1455">
        <v>410</v>
      </c>
      <c r="C660" s="1100">
        <v>1.0092714119945476</v>
      </c>
      <c r="D660" s="1100">
        <v>1.0356976526434953</v>
      </c>
      <c r="E660" s="1100">
        <v>1.0309045986841265</v>
      </c>
      <c r="F660" s="1100">
        <v>1.0170612063880815</v>
      </c>
      <c r="G660" s="1100">
        <v>0.98196151702527978</v>
      </c>
      <c r="H660" s="1100">
        <v>1.0339110496658164</v>
      </c>
      <c r="I660" s="1100">
        <v>0.99936351973265602</v>
      </c>
      <c r="K660">
        <v>1.163446485188034</v>
      </c>
      <c r="L660">
        <v>0</v>
      </c>
      <c r="M660">
        <v>7.5854813794078461E-4</v>
      </c>
      <c r="N660">
        <v>7.6631797049909883E-2</v>
      </c>
      <c r="O660">
        <v>1.012123338120669E-2</v>
      </c>
      <c r="P660">
        <v>1.3989598868839555E-2</v>
      </c>
      <c r="Q660">
        <v>4.5324387685367998E-4</v>
      </c>
      <c r="R660">
        <v>7.5692324202257424E-4</v>
      </c>
      <c r="S660">
        <v>7.2247040379463681E-2</v>
      </c>
      <c r="T660">
        <v>0.83968836088172227</v>
      </c>
      <c r="U660">
        <v>0</v>
      </c>
      <c r="V660">
        <v>9.1102037972605368E-2</v>
      </c>
      <c r="W660">
        <v>4.9436606305826955E-2</v>
      </c>
      <c r="X660">
        <v>7.718095822416924E-3</v>
      </c>
      <c r="Y660">
        <v>2.060095545105774E-3</v>
      </c>
    </row>
    <row r="661" spans="1:25" x14ac:dyDescent="0.25">
      <c r="A661" s="1096"/>
      <c r="B661" s="1455">
        <v>411</v>
      </c>
      <c r="C661" s="1100">
        <v>1.0183413642678729</v>
      </c>
      <c r="D661" s="1100">
        <v>1.0153478467982699</v>
      </c>
      <c r="E661" s="1100">
        <v>0.99153922563421026</v>
      </c>
      <c r="F661" s="1100">
        <v>1.0004890232500538</v>
      </c>
      <c r="G661" s="1100">
        <v>0.98008446509467106</v>
      </c>
      <c r="H661" s="1100">
        <v>0.99205195472485885</v>
      </c>
      <c r="I661" s="1100">
        <v>0.99303496398391733</v>
      </c>
      <c r="K661">
        <v>1.1400865862100353</v>
      </c>
      <c r="L661">
        <v>0</v>
      </c>
      <c r="M661">
        <v>7.8907772147278018E-4</v>
      </c>
      <c r="N661">
        <v>7.0777890206671412E-2</v>
      </c>
      <c r="O661">
        <v>1.0098430417240341E-2</v>
      </c>
      <c r="P661">
        <v>1.3405860772750106E-2</v>
      </c>
      <c r="Q661">
        <v>4.347838583377796E-4</v>
      </c>
      <c r="R661">
        <v>7.8731610670425473E-4</v>
      </c>
      <c r="S661">
        <v>7.0178632770340171E-2</v>
      </c>
      <c r="T661">
        <v>0.82859945017021097</v>
      </c>
      <c r="U661">
        <v>0</v>
      </c>
      <c r="V661">
        <v>9.0796566851828589E-2</v>
      </c>
      <c r="W661">
        <v>4.6731450421443443E-2</v>
      </c>
      <c r="X661">
        <v>6.922467452216606E-3</v>
      </c>
      <c r="Y661">
        <v>2.1428149037641584E-3</v>
      </c>
    </row>
    <row r="662" spans="1:25" x14ac:dyDescent="0.25">
      <c r="A662" s="1096"/>
      <c r="B662" s="1455">
        <v>412</v>
      </c>
      <c r="C662" s="1100">
        <v>0.98569347334624202</v>
      </c>
      <c r="D662" s="1100">
        <v>1.0058083751310665</v>
      </c>
      <c r="E662" s="1100">
        <v>1.0239350956906672</v>
      </c>
      <c r="F662" s="1100">
        <v>0.99186043913057287</v>
      </c>
      <c r="G662" s="1100">
        <v>1.0070131089639018</v>
      </c>
      <c r="H662" s="1100">
        <v>0.96653509091108081</v>
      </c>
      <c r="I662" s="1100">
        <v>0.99596247754171108</v>
      </c>
      <c r="K662">
        <v>1.1398033852107974</v>
      </c>
      <c r="L662">
        <v>0</v>
      </c>
      <c r="M662">
        <v>7.4537629981948322E-4</v>
      </c>
      <c r="N662">
        <v>7.372421603950452E-2</v>
      </c>
      <c r="O662">
        <v>1.0483120789707397E-2</v>
      </c>
      <c r="P662">
        <v>1.3656748519244649E-2</v>
      </c>
      <c r="Q662">
        <v>4.6622145327662355E-4</v>
      </c>
      <c r="R662">
        <v>7.4366831686763213E-4</v>
      </c>
      <c r="S662">
        <v>7.2061502315824824E-2</v>
      </c>
      <c r="T662">
        <v>0.81933405778469737</v>
      </c>
      <c r="U662">
        <v>0</v>
      </c>
      <c r="V662">
        <v>9.27590390319845E-2</v>
      </c>
      <c r="W662">
        <v>4.7754066598102184E-2</v>
      </c>
      <c r="X662">
        <v>7.5421006530880588E-3</v>
      </c>
      <c r="Y662">
        <v>2.0240200083189246E-3</v>
      </c>
    </row>
    <row r="663" spans="1:25" x14ac:dyDescent="0.25">
      <c r="A663" s="1096"/>
      <c r="B663" s="1455">
        <v>413</v>
      </c>
      <c r="C663" s="1100">
        <v>1.0290607927725706</v>
      </c>
      <c r="D663" s="1100">
        <v>0.98590647093319805</v>
      </c>
      <c r="E663" s="1100">
        <v>0.97658480491242827</v>
      </c>
      <c r="F663" s="1100">
        <v>0.99721955312603938</v>
      </c>
      <c r="G663" s="1100">
        <v>0.9715959902009772</v>
      </c>
      <c r="H663" s="1100">
        <v>0.9584893213811343</v>
      </c>
      <c r="I663" s="1100">
        <v>1.0025448397656926</v>
      </c>
      <c r="K663">
        <v>1.1318944008450595</v>
      </c>
      <c r="L663">
        <v>0</v>
      </c>
      <c r="M663">
        <v>7.8736263140839345E-4</v>
      </c>
      <c r="N663">
        <v>6.749536501386813E-2</v>
      </c>
      <c r="O663">
        <v>1.0106782271093165E-2</v>
      </c>
      <c r="P663">
        <v>1.3218867503585353E-2</v>
      </c>
      <c r="Q663">
        <v>4.285941030236891E-4</v>
      </c>
      <c r="R663">
        <v>7.8554329463292731E-4</v>
      </c>
      <c r="S663">
        <v>6.9826329197596251E-2</v>
      </c>
      <c r="T663">
        <v>0.82688668765295537</v>
      </c>
      <c r="U663">
        <v>0</v>
      </c>
      <c r="V663">
        <v>9.0177984587285931E-2</v>
      </c>
      <c r="W663">
        <v>4.4967074139938217E-2</v>
      </c>
      <c r="X663">
        <v>6.6505458187753339E-3</v>
      </c>
      <c r="Y663">
        <v>2.1379898937133471E-3</v>
      </c>
    </row>
    <row r="664" spans="1:25" x14ac:dyDescent="0.25">
      <c r="A664" s="1096"/>
      <c r="B664" s="1455">
        <v>414</v>
      </c>
      <c r="C664" s="1100">
        <v>1.0040261281153964</v>
      </c>
      <c r="D664" s="1100">
        <v>0.99991102835008683</v>
      </c>
      <c r="E664" s="1100">
        <v>0.99710722608904501</v>
      </c>
      <c r="F664" s="1100">
        <v>0.96039618973770546</v>
      </c>
      <c r="G664" s="1100">
        <v>1.0019044225896494</v>
      </c>
      <c r="H664" s="1100">
        <v>0.9998356071583262</v>
      </c>
      <c r="I664" s="1100">
        <v>1.0019993199184174</v>
      </c>
      <c r="K664">
        <v>1.1140877299525318</v>
      </c>
      <c r="L664">
        <v>0</v>
      </c>
      <c r="M664">
        <v>8.0225453359389386E-4</v>
      </c>
      <c r="N664">
        <v>7.3182355001643329E-2</v>
      </c>
      <c r="O664">
        <v>1.0307184861859355E-2</v>
      </c>
      <c r="P664">
        <v>1.3057480960291318E-2</v>
      </c>
      <c r="Q664">
        <v>4.4627024615588189E-4</v>
      </c>
      <c r="R664">
        <v>8.0047744467566788E-4</v>
      </c>
      <c r="S664">
        <v>7.2711695773772164E-2</v>
      </c>
      <c r="T664">
        <v>0.79503977617609711</v>
      </c>
      <c r="U664">
        <v>0</v>
      </c>
      <c r="V664">
        <v>9.2077290090541358E-2</v>
      </c>
      <c r="W664">
        <v>4.8158655185654153E-2</v>
      </c>
      <c r="X664">
        <v>6.9301630183467586E-3</v>
      </c>
      <c r="Y664">
        <v>2.1786357270884497E-3</v>
      </c>
    </row>
    <row r="665" spans="1:25" x14ac:dyDescent="0.25">
      <c r="A665" s="1096"/>
      <c r="B665" s="1455">
        <v>415</v>
      </c>
      <c r="C665" s="1100">
        <v>0.99266740482676119</v>
      </c>
      <c r="D665" s="1100">
        <v>1.0088766197560624</v>
      </c>
      <c r="E665" s="1100">
        <v>0.98994510869412888</v>
      </c>
      <c r="F665" s="1100">
        <v>0.98048721321515764</v>
      </c>
      <c r="G665" s="1100">
        <v>0.97800022605372716</v>
      </c>
      <c r="H665" s="1100">
        <v>1.0416248403186914</v>
      </c>
      <c r="I665" s="1100">
        <v>1.0170216612020491</v>
      </c>
      <c r="K665">
        <v>1.1396086253163553</v>
      </c>
      <c r="L665">
        <v>0</v>
      </c>
      <c r="M665">
        <v>8.5493093961142518E-4</v>
      </c>
      <c r="N665">
        <v>7.6324162883165791E-2</v>
      </c>
      <c r="O665">
        <v>1.0385618114618538E-2</v>
      </c>
      <c r="P665">
        <v>1.3253673772023668E-2</v>
      </c>
      <c r="Q665">
        <v>4.4642900447470807E-4</v>
      </c>
      <c r="R665">
        <v>8.5311314302333457E-4</v>
      </c>
      <c r="S665">
        <v>7.6031952564995814E-2</v>
      </c>
      <c r="T665">
        <v>0.81213800953728266</v>
      </c>
      <c r="U665">
        <v>0</v>
      </c>
      <c r="V665">
        <v>9.1336538057277483E-2</v>
      </c>
      <c r="W665">
        <v>5.044152331903428E-2</v>
      </c>
      <c r="X665">
        <v>6.9306431134329724E-3</v>
      </c>
      <c r="Y665">
        <v>2.3218927466375013E-3</v>
      </c>
    </row>
    <row r="666" spans="1:25" x14ac:dyDescent="0.25">
      <c r="A666" s="1096"/>
      <c r="B666" s="1455">
        <v>416</v>
      </c>
      <c r="C666" s="1100">
        <v>1.000239102675776</v>
      </c>
      <c r="D666" s="1100">
        <v>1.011353702269933</v>
      </c>
      <c r="E666" s="1100">
        <v>0.97561384915109928</v>
      </c>
      <c r="F666" s="1100">
        <v>1.0156159542747376</v>
      </c>
      <c r="G666" s="1100">
        <v>0.98243835574152538</v>
      </c>
      <c r="H666" s="1100">
        <v>0.96980278777107609</v>
      </c>
      <c r="I666" s="1100">
        <v>1.0114840490142103</v>
      </c>
      <c r="K666">
        <v>1.1544933963364448</v>
      </c>
      <c r="L666">
        <v>0</v>
      </c>
      <c r="M666">
        <v>8.1292899149969071E-4</v>
      </c>
      <c r="N666">
        <v>6.9484393039633996E-2</v>
      </c>
      <c r="O666">
        <v>1.0292239369677565E-2</v>
      </c>
      <c r="P666">
        <v>1.3458638823415289E-2</v>
      </c>
      <c r="Q666">
        <v>4.3602725067282448E-4</v>
      </c>
      <c r="R666">
        <v>8.1107249231954443E-4</v>
      </c>
      <c r="S666">
        <v>7.1994021695600929E-2</v>
      </c>
      <c r="T666">
        <v>0.84220688862148663</v>
      </c>
      <c r="U666">
        <v>0</v>
      </c>
      <c r="V666">
        <v>9.1335245231056378E-2</v>
      </c>
      <c r="W666">
        <v>4.6319446137021929E-2</v>
      </c>
      <c r="X666">
        <v>6.7608807129389652E-3</v>
      </c>
      <c r="Y666">
        <v>2.207471954118564E-3</v>
      </c>
    </row>
    <row r="667" spans="1:25" x14ac:dyDescent="0.25">
      <c r="A667" s="1096"/>
      <c r="B667" s="1455">
        <v>417</v>
      </c>
      <c r="C667" s="1100">
        <v>1.0230355710200283</v>
      </c>
      <c r="D667" s="1100">
        <v>1.0222357033115832</v>
      </c>
      <c r="E667" s="1100">
        <v>0.98260234708908778</v>
      </c>
      <c r="F667" s="1100">
        <v>1.0207602030474914</v>
      </c>
      <c r="G667" s="1100">
        <v>0.96532120269608934</v>
      </c>
      <c r="H667" s="1100">
        <v>0.98638345817705786</v>
      </c>
      <c r="I667" s="1100">
        <v>1.0072632397352324</v>
      </c>
      <c r="K667">
        <v>1.1546479625903241</v>
      </c>
      <c r="L667">
        <v>0</v>
      </c>
      <c r="M667">
        <v>7.934031118138244E-4</v>
      </c>
      <c r="N667">
        <v>6.9267409561906079E-2</v>
      </c>
      <c r="O667">
        <v>1.0022117899052281E-2</v>
      </c>
      <c r="P667">
        <v>1.3542327182544753E-2</v>
      </c>
      <c r="Q667">
        <v>4.2761175061967123E-4</v>
      </c>
      <c r="R667">
        <v>7.9162166157009325E-4</v>
      </c>
      <c r="S667">
        <v>7.0376871492803458E-2</v>
      </c>
      <c r="T667">
        <v>0.84599569392079121</v>
      </c>
      <c r="U667">
        <v>0</v>
      </c>
      <c r="V667">
        <v>9.0052290012019795E-2</v>
      </c>
      <c r="W667">
        <v>4.5980225084473032E-2</v>
      </c>
      <c r="X667">
        <v>6.8306639315744285E-3</v>
      </c>
      <c r="Y667">
        <v>2.1545332047831914E-3</v>
      </c>
    </row>
    <row r="668" spans="1:25" x14ac:dyDescent="0.25">
      <c r="A668" s="1096"/>
      <c r="B668" s="1455">
        <v>418</v>
      </c>
      <c r="C668" s="1100">
        <v>1.0082744043383938</v>
      </c>
      <c r="D668" s="1100">
        <v>1.0235007653029369</v>
      </c>
      <c r="E668" s="1100">
        <v>0.98791069192907</v>
      </c>
      <c r="F668" s="1100">
        <v>0.98494678890759102</v>
      </c>
      <c r="G668" s="1100">
        <v>1.0085875459162721</v>
      </c>
      <c r="H668" s="1100">
        <v>1.0148815963252467</v>
      </c>
      <c r="I668" s="1100">
        <v>1.0033460929010733</v>
      </c>
      <c r="K668">
        <v>1.1340850728980334</v>
      </c>
      <c r="L668">
        <v>0</v>
      </c>
      <c r="M668">
        <v>8.1882220117040366E-4</v>
      </c>
      <c r="N668">
        <v>7.2648175877796359E-2</v>
      </c>
      <c r="O668">
        <v>1.0165515805159805E-2</v>
      </c>
      <c r="P668">
        <v>1.324612736971934E-2</v>
      </c>
      <c r="Q668">
        <v>4.3606968312490319E-4</v>
      </c>
      <c r="R668">
        <v>8.1703530297542483E-4</v>
      </c>
      <c r="S668">
        <v>7.2233245646013425E-2</v>
      </c>
      <c r="T668">
        <v>0.81596525702687295</v>
      </c>
      <c r="U668">
        <v>0</v>
      </c>
      <c r="V668">
        <v>9.2257793899441165E-2</v>
      </c>
      <c r="W668">
        <v>4.8070716904983338E-2</v>
      </c>
      <c r="X668">
        <v>6.8402568240348641E-3</v>
      </c>
      <c r="Y668">
        <v>2.2237007590838664E-3</v>
      </c>
    </row>
    <row r="669" spans="1:25" x14ac:dyDescent="0.25">
      <c r="A669" s="1096"/>
      <c r="B669" s="1455">
        <v>419</v>
      </c>
      <c r="C669" s="1100">
        <v>0.97623493005821782</v>
      </c>
      <c r="D669" s="1100">
        <v>0.98775596808043575</v>
      </c>
      <c r="E669" s="1100">
        <v>0.99657584705880686</v>
      </c>
      <c r="F669" s="1100">
        <v>1.0010807853879131</v>
      </c>
      <c r="G669" s="1100">
        <v>1.0120903038495579</v>
      </c>
      <c r="H669" s="1100">
        <v>1.0365459447077896</v>
      </c>
      <c r="I669" s="1100">
        <v>1.001318845964845</v>
      </c>
      <c r="K669">
        <v>1.1629148038639918</v>
      </c>
      <c r="L669">
        <v>0</v>
      </c>
      <c r="M669">
        <v>8.6052987215487942E-4</v>
      </c>
      <c r="N669">
        <v>7.8378493930719953E-2</v>
      </c>
      <c r="O669">
        <v>1.0652416046766264E-2</v>
      </c>
      <c r="P669">
        <v>1.3581003067810451E-2</v>
      </c>
      <c r="Q669">
        <v>4.6097100693484095E-4</v>
      </c>
      <c r="R669">
        <v>8.5869120561901278E-4</v>
      </c>
      <c r="S669">
        <v>7.6740397682908815E-2</v>
      </c>
      <c r="T669">
        <v>0.82875476536761161</v>
      </c>
      <c r="U669">
        <v>0</v>
      </c>
      <c r="V669">
        <v>9.3215360586575924E-2</v>
      </c>
      <c r="W669">
        <v>5.1594378650706811E-2</v>
      </c>
      <c r="X669">
        <v>7.2017817962775942E-3</v>
      </c>
      <c r="Y669">
        <v>2.3370743942150969E-3</v>
      </c>
    </row>
    <row r="670" spans="1:25" x14ac:dyDescent="0.25">
      <c r="A670" s="1096"/>
      <c r="B670" s="1455">
        <v>420</v>
      </c>
      <c r="C670" s="1100">
        <v>1.03188903861577</v>
      </c>
      <c r="D670" s="1100">
        <v>0.9891314892304921</v>
      </c>
      <c r="E670" s="1100">
        <v>1.0231459091664707</v>
      </c>
      <c r="F670" s="1100">
        <v>1.0303113263541308</v>
      </c>
      <c r="G670" s="1100">
        <v>1.0397449905101297</v>
      </c>
      <c r="H670" s="1100">
        <v>1.0005568405889755</v>
      </c>
      <c r="I670" s="1100">
        <v>0.97390136521306181</v>
      </c>
      <c r="K670">
        <v>1.1684474778626615</v>
      </c>
      <c r="L670">
        <v>0</v>
      </c>
      <c r="M670">
        <v>7.4323575408176705E-4</v>
      </c>
      <c r="N670">
        <v>7.3343459230280572E-2</v>
      </c>
      <c r="O670">
        <v>1.0080755689134963E-2</v>
      </c>
      <c r="P670">
        <v>1.4054162425298085E-2</v>
      </c>
      <c r="Q670">
        <v>4.4797593466585245E-4</v>
      </c>
      <c r="R670">
        <v>7.4159058550390749E-4</v>
      </c>
      <c r="S670">
        <v>6.9205128928869528E-2</v>
      </c>
      <c r="T670">
        <v>0.85114992460817263</v>
      </c>
      <c r="U670">
        <v>0</v>
      </c>
      <c r="V670">
        <v>9.3031812315860427E-2</v>
      </c>
      <c r="W670">
        <v>4.7529314501195151E-2</v>
      </c>
      <c r="X670">
        <v>7.588224289290668E-3</v>
      </c>
      <c r="Y670">
        <v>2.0183651084708259E-3</v>
      </c>
    </row>
    <row r="671" spans="1:25" x14ac:dyDescent="0.25">
      <c r="A671" s="1096"/>
      <c r="B671" s="1455">
        <v>421</v>
      </c>
      <c r="C671" s="1100">
        <v>1.0085831049078278</v>
      </c>
      <c r="D671" s="1100">
        <v>0.99386709794667871</v>
      </c>
      <c r="E671" s="1100">
        <v>0.97084316170879115</v>
      </c>
      <c r="F671" s="1100">
        <v>0.99180643243266453</v>
      </c>
      <c r="G671" s="1100">
        <v>1.036807370229315</v>
      </c>
      <c r="H671" s="1100">
        <v>0.99967961472243982</v>
      </c>
      <c r="I671" s="1100">
        <v>1.0300191416635458</v>
      </c>
      <c r="K671">
        <v>1.1424795823376692</v>
      </c>
      <c r="L671">
        <v>0</v>
      </c>
      <c r="M671">
        <v>8.4514576264240067E-4</v>
      </c>
      <c r="N671">
        <v>7.120722220680932E-2</v>
      </c>
      <c r="O671">
        <v>1.0277006348930891E-2</v>
      </c>
      <c r="P671">
        <v>1.3213668673873981E-2</v>
      </c>
      <c r="Q671">
        <v>4.3326794951432983E-4</v>
      </c>
      <c r="R671">
        <v>8.4327337243932684E-4</v>
      </c>
      <c r="S671">
        <v>7.4601238311773663E-2</v>
      </c>
      <c r="T671">
        <v>0.82278002297489128</v>
      </c>
      <c r="U671">
        <v>0</v>
      </c>
      <c r="V671">
        <v>9.3455188219362828E-2</v>
      </c>
      <c r="W671">
        <v>4.7605586886279638E-2</v>
      </c>
      <c r="X671">
        <v>6.6131410216471566E-3</v>
      </c>
      <c r="Y671">
        <v>2.2951121347873321E-3</v>
      </c>
    </row>
    <row r="672" spans="1:25" x14ac:dyDescent="0.25">
      <c r="A672" s="1096"/>
      <c r="B672" s="1455">
        <v>422</v>
      </c>
      <c r="C672" s="1100">
        <v>0.96146427638718601</v>
      </c>
      <c r="D672" s="1100">
        <v>1.0024709041138031</v>
      </c>
      <c r="E672" s="1100">
        <v>1.0086596356675788</v>
      </c>
      <c r="F672" s="1100">
        <v>1.0372971305473859</v>
      </c>
      <c r="G672" s="1100">
        <v>0.99518418712730616</v>
      </c>
      <c r="H672" s="1100">
        <v>1.0015820350430009</v>
      </c>
      <c r="I672" s="1100">
        <v>1.0338920831500296</v>
      </c>
      <c r="K672">
        <v>1.1921234493324266</v>
      </c>
      <c r="L672">
        <v>0</v>
      </c>
      <c r="M672">
        <v>8.1851390764807257E-4</v>
      </c>
      <c r="N672">
        <v>7.7317289465956798E-2</v>
      </c>
      <c r="O672">
        <v>1.0756388670022553E-2</v>
      </c>
      <c r="P672">
        <v>1.4121152795181073E-2</v>
      </c>
      <c r="Q672">
        <v>4.7115028739792261E-4</v>
      </c>
      <c r="R672">
        <v>8.1670396374460539E-4</v>
      </c>
      <c r="S672">
        <v>7.8335441108552145E-2</v>
      </c>
      <c r="T672">
        <v>0.85790805069531018</v>
      </c>
      <c r="U672">
        <v>0</v>
      </c>
      <c r="V672">
        <v>9.2884570659722707E-2</v>
      </c>
      <c r="W672">
        <v>5.0532343321014958E-2</v>
      </c>
      <c r="X672">
        <v>7.5760733102472099E-3</v>
      </c>
      <c r="Y672">
        <v>2.2227989629235237E-3</v>
      </c>
    </row>
    <row r="673" spans="1:25" x14ac:dyDescent="0.25">
      <c r="A673" s="1096"/>
      <c r="B673" s="1455">
        <v>423</v>
      </c>
      <c r="C673" s="1100">
        <v>0.95626953801066428</v>
      </c>
      <c r="D673" s="1100">
        <v>0.97833085095543393</v>
      </c>
      <c r="E673" s="1100">
        <v>0.97953707216342256</v>
      </c>
      <c r="F673" s="1100">
        <v>1.0239841550298325</v>
      </c>
      <c r="G673" s="1100">
        <v>1.0225148369692805</v>
      </c>
      <c r="H673" s="1100">
        <v>1.0288144686265221</v>
      </c>
      <c r="I673" s="1100">
        <v>1.0287038733907075</v>
      </c>
      <c r="K673">
        <v>1.1888165146929572</v>
      </c>
      <c r="L673">
        <v>0</v>
      </c>
      <c r="M673">
        <v>9.0672352874493771E-4</v>
      </c>
      <c r="N673">
        <v>7.8437311492835046E-2</v>
      </c>
      <c r="O673">
        <v>1.0910735831981658E-2</v>
      </c>
      <c r="P673">
        <v>1.3741353653079665E-2</v>
      </c>
      <c r="Q673">
        <v>4.6407899051946949E-4</v>
      </c>
      <c r="R673">
        <v>9.0477160251532178E-4</v>
      </c>
      <c r="S673">
        <v>8.0517485742278211E-2</v>
      </c>
      <c r="T673">
        <v>0.84887739879146573</v>
      </c>
      <c r="U673">
        <v>0</v>
      </c>
      <c r="V673">
        <v>9.418861860262466E-2</v>
      </c>
      <c r="W673">
        <v>5.2163652610324358E-2</v>
      </c>
      <c r="X673">
        <v>7.055340859909217E-3</v>
      </c>
      <c r="Y673">
        <v>2.4624900441680957E-3</v>
      </c>
    </row>
    <row r="674" spans="1:25" x14ac:dyDescent="0.25">
      <c r="A674" s="1096"/>
      <c r="B674" s="1455">
        <v>424</v>
      </c>
      <c r="C674" s="1100">
        <v>0.96787309971129099</v>
      </c>
      <c r="D674" s="1100">
        <v>1.0127231115300079</v>
      </c>
      <c r="E674" s="1100">
        <v>0.98481460335050774</v>
      </c>
      <c r="F674" s="1100">
        <v>1.0011434722133843</v>
      </c>
      <c r="G674" s="1100">
        <v>1.0016280301796314</v>
      </c>
      <c r="H674" s="1100">
        <v>0.98496576783394107</v>
      </c>
      <c r="I674" s="1100">
        <v>0.96662503467147465</v>
      </c>
      <c r="K674">
        <v>1.150243461155761</v>
      </c>
      <c r="L674">
        <v>0</v>
      </c>
      <c r="M674">
        <v>8.3671558672945639E-4</v>
      </c>
      <c r="N674">
        <v>7.3538991919317093E-2</v>
      </c>
      <c r="O674">
        <v>1.0633745772601781E-2</v>
      </c>
      <c r="P674">
        <v>1.3401057665254316E-2</v>
      </c>
      <c r="Q674">
        <v>4.5472717624993564E-4</v>
      </c>
      <c r="R674">
        <v>8.3483418170205619E-4</v>
      </c>
      <c r="S674">
        <v>7.1675657657778585E-2</v>
      </c>
      <c r="T674">
        <v>0.82958974919521467</v>
      </c>
      <c r="U674">
        <v>0</v>
      </c>
      <c r="V674">
        <v>9.2985537796492351E-2</v>
      </c>
      <c r="W674">
        <v>4.8750759388963255E-2</v>
      </c>
      <c r="X674">
        <v>6.9429725493358255E-3</v>
      </c>
      <c r="Y674">
        <v>2.2721434395789612E-3</v>
      </c>
    </row>
    <row r="675" spans="1:25" x14ac:dyDescent="0.25">
      <c r="A675" s="1096"/>
      <c r="B675" s="1455">
        <v>425</v>
      </c>
      <c r="C675" s="1100">
        <v>0.98036964403258553</v>
      </c>
      <c r="D675" s="1100">
        <v>0.98966002970093558</v>
      </c>
      <c r="E675" s="1100">
        <v>1.0235997449086358</v>
      </c>
      <c r="F675" s="1100">
        <v>0.99760201280136784</v>
      </c>
      <c r="G675" s="1100">
        <v>0.98769632177244371</v>
      </c>
      <c r="H675" s="1100">
        <v>1.0142408298752399</v>
      </c>
      <c r="I675" s="1100">
        <v>0.98582658895757891</v>
      </c>
      <c r="K675">
        <v>1.1540377875035981</v>
      </c>
      <c r="L675">
        <v>0</v>
      </c>
      <c r="M675">
        <v>7.920743641028035E-4</v>
      </c>
      <c r="N675">
        <v>7.827232024095665E-2</v>
      </c>
      <c r="O675">
        <v>1.0608395025308828E-2</v>
      </c>
      <c r="P675">
        <v>1.3740685635540897E-2</v>
      </c>
      <c r="Q675">
        <v>4.7163590373570826E-4</v>
      </c>
      <c r="R675">
        <v>7.9034474511051149E-4</v>
      </c>
      <c r="S675">
        <v>7.427653435968247E-2</v>
      </c>
      <c r="T675">
        <v>0.82409882042888882</v>
      </c>
      <c r="U675">
        <v>0</v>
      </c>
      <c r="V675">
        <v>9.2070005009854544E-2</v>
      </c>
      <c r="W675">
        <v>5.0709970898933525E-2</v>
      </c>
      <c r="X675">
        <v>7.6400917605738434E-3</v>
      </c>
      <c r="Y675">
        <v>2.1510578591156077E-3</v>
      </c>
    </row>
    <row r="676" spans="1:25" x14ac:dyDescent="0.25">
      <c r="A676" s="1096"/>
      <c r="B676" s="1455">
        <v>426</v>
      </c>
      <c r="C676" s="1100">
        <v>1.006424072989176</v>
      </c>
      <c r="D676" s="1100">
        <v>0.96700183132089601</v>
      </c>
      <c r="E676" s="1100">
        <v>0.99941807872547139</v>
      </c>
      <c r="F676" s="1100">
        <v>0.99192946894861433</v>
      </c>
      <c r="G676" s="1100">
        <v>1.0309051111149108</v>
      </c>
      <c r="H676" s="1100">
        <v>1.0230118408892155</v>
      </c>
      <c r="I676" s="1100">
        <v>1.0026145755809486</v>
      </c>
      <c r="K676">
        <v>1.1485284182533582</v>
      </c>
      <c r="L676">
        <v>0</v>
      </c>
      <c r="M676">
        <v>8.2596315055800322E-4</v>
      </c>
      <c r="N676">
        <v>7.5876827714275494E-2</v>
      </c>
      <c r="O676">
        <v>1.0421960447073119E-2</v>
      </c>
      <c r="P676">
        <v>1.3478217052099117E-2</v>
      </c>
      <c r="Q676">
        <v>4.5229006370535712E-4</v>
      </c>
      <c r="R676">
        <v>8.2417499379507716E-4</v>
      </c>
      <c r="S676">
        <v>7.4796582146161181E-2</v>
      </c>
      <c r="T676">
        <v>0.82099192278642619</v>
      </c>
      <c r="U676">
        <v>0</v>
      </c>
      <c r="V676">
        <v>9.3258698632947501E-2</v>
      </c>
      <c r="W676">
        <v>4.9863164528051181E-2</v>
      </c>
      <c r="X676">
        <v>7.1474103954854897E-3</v>
      </c>
      <c r="Y676">
        <v>2.2431326438965139E-3</v>
      </c>
    </row>
    <row r="677" spans="1:25" x14ac:dyDescent="0.25">
      <c r="A677" s="1096"/>
      <c r="B677" s="1455">
        <v>427</v>
      </c>
      <c r="C677" s="1100">
        <v>1.0352659175719692</v>
      </c>
      <c r="D677" s="1100">
        <v>0.97741217512903156</v>
      </c>
      <c r="E677" s="1100">
        <v>1.0102391430152324</v>
      </c>
      <c r="F677" s="1100">
        <v>1.0419418516660948</v>
      </c>
      <c r="G677" s="1100">
        <v>1.0207041077232741</v>
      </c>
      <c r="H677" s="1100">
        <v>1.0190376009796218</v>
      </c>
      <c r="I677" s="1100">
        <v>0.97761504119893317</v>
      </c>
      <c r="K677">
        <v>1.1804666812092399</v>
      </c>
      <c r="L677">
        <v>0</v>
      </c>
      <c r="M677">
        <v>7.7872408257225606E-4</v>
      </c>
      <c r="N677">
        <v>7.3913144519248977E-2</v>
      </c>
      <c r="O677">
        <v>1.0091763274162922E-2</v>
      </c>
      <c r="P677">
        <v>1.406914653953183E-2</v>
      </c>
      <c r="Q677">
        <v>4.4273714520937454E-4</v>
      </c>
      <c r="R677">
        <v>7.7703162038502218E-4</v>
      </c>
      <c r="S677">
        <v>7.0369818739485113E-2</v>
      </c>
      <c r="T677">
        <v>0.86164106564207688</v>
      </c>
      <c r="U677">
        <v>0</v>
      </c>
      <c r="V677">
        <v>9.2137912831829649E-2</v>
      </c>
      <c r="W677">
        <v>4.8262500625032685E-2</v>
      </c>
      <c r="X677">
        <v>7.4254604325649292E-3</v>
      </c>
      <c r="Y677">
        <v>2.1148239222832117E-3</v>
      </c>
    </row>
    <row r="678" spans="1:25" x14ac:dyDescent="0.25">
      <c r="A678" s="1096"/>
      <c r="B678" s="1455">
        <v>428</v>
      </c>
      <c r="C678" s="1100">
        <v>0.97525812376659304</v>
      </c>
      <c r="D678" s="1100">
        <v>0.96816936767163442</v>
      </c>
      <c r="E678" s="1100">
        <v>0.99479709176620157</v>
      </c>
      <c r="F678" s="1100">
        <v>1.0178110265820037</v>
      </c>
      <c r="G678" s="1100">
        <v>1.0348789002696761</v>
      </c>
      <c r="H678" s="1100">
        <v>0.99457457525404835</v>
      </c>
      <c r="I678" s="1100">
        <v>1.0013794347852456</v>
      </c>
      <c r="K678">
        <v>1.1729169813941598</v>
      </c>
      <c r="L678">
        <v>0</v>
      </c>
      <c r="M678">
        <v>8.3623853500673358E-4</v>
      </c>
      <c r="N678">
        <v>7.5750805481480596E-2</v>
      </c>
      <c r="O678">
        <v>1.0748250973293873E-2</v>
      </c>
      <c r="P678">
        <v>1.3753867822364528E-2</v>
      </c>
      <c r="Q678">
        <v>4.6428529404225039E-4</v>
      </c>
      <c r="R678">
        <v>8.3437636897003048E-4</v>
      </c>
      <c r="S678">
        <v>7.5835030369431566E-2</v>
      </c>
      <c r="T678">
        <v>0.84272517570484295</v>
      </c>
      <c r="U678">
        <v>0</v>
      </c>
      <c r="V678">
        <v>9.4214885431421216E-2</v>
      </c>
      <c r="W678">
        <v>4.9917569181656143E-2</v>
      </c>
      <c r="X678">
        <v>7.2380758774218939E-3</v>
      </c>
      <c r="Y678">
        <v>2.2708974242403139E-3</v>
      </c>
    </row>
    <row r="679" spans="1:25" x14ac:dyDescent="0.25">
      <c r="A679" s="1096"/>
      <c r="B679" s="1455">
        <v>429</v>
      </c>
      <c r="C679" s="1100">
        <v>0.96724341937964142</v>
      </c>
      <c r="D679" s="1100">
        <v>1.0129589992682158</v>
      </c>
      <c r="E679" s="1100">
        <v>0.99920596367120218</v>
      </c>
      <c r="F679" s="1100">
        <v>1.0365132546678055</v>
      </c>
      <c r="G679" s="1100">
        <v>0.99911954244473289</v>
      </c>
      <c r="H679" s="1100">
        <v>0.99442479099629311</v>
      </c>
      <c r="I679" s="1100">
        <v>0.98920356395117082</v>
      </c>
      <c r="K679">
        <v>1.1840549301129293</v>
      </c>
      <c r="L679">
        <v>0</v>
      </c>
      <c r="M679">
        <v>8.2039390327759345E-4</v>
      </c>
      <c r="N679">
        <v>7.5312228674842163E-2</v>
      </c>
      <c r="O679">
        <v>1.0644515822480338E-2</v>
      </c>
      <c r="P679">
        <v>1.3960418505483501E-2</v>
      </c>
      <c r="Q679">
        <v>4.6184995470111934E-4</v>
      </c>
      <c r="R679">
        <v>8.1856674546411433E-4</v>
      </c>
      <c r="S679">
        <v>7.3797382257669283E-2</v>
      </c>
      <c r="T679">
        <v>0.85790721996925434</v>
      </c>
      <c r="U679">
        <v>0</v>
      </c>
      <c r="V679">
        <v>9.2897192578169002E-2</v>
      </c>
      <c r="W679">
        <v>4.949837624284855E-2</v>
      </c>
      <c r="X679">
        <v>7.3497044245953453E-3</v>
      </c>
      <c r="Y679">
        <v>2.2278688406981986E-3</v>
      </c>
    </row>
    <row r="680" spans="1:25" x14ac:dyDescent="0.25">
      <c r="A680" s="1096"/>
      <c r="B680" s="1455">
        <v>430</v>
      </c>
      <c r="C680" s="1100">
        <v>0.9801770036834434</v>
      </c>
      <c r="D680" s="1100">
        <v>1.0150399860720576</v>
      </c>
      <c r="E680" s="1100">
        <v>0.99644239647146493</v>
      </c>
      <c r="F680" s="1100">
        <v>0.98676203298632914</v>
      </c>
      <c r="G680" s="1100">
        <v>0.9983078651554147</v>
      </c>
      <c r="H680" s="1100">
        <v>0.99497853604218534</v>
      </c>
      <c r="I680" s="1100">
        <v>0.96315948394037143</v>
      </c>
      <c r="K680">
        <v>1.1367158952044942</v>
      </c>
      <c r="L680">
        <v>0</v>
      </c>
      <c r="M680">
        <v>8.140061748596871E-4</v>
      </c>
      <c r="N680">
        <v>7.4104514434729513E-2</v>
      </c>
      <c r="O680">
        <v>1.0494523545649823E-2</v>
      </c>
      <c r="P680">
        <v>1.3329040843504114E-2</v>
      </c>
      <c r="Q680">
        <v>4.5407735853608542E-4</v>
      </c>
      <c r="R680">
        <v>8.1219425258025394E-4</v>
      </c>
      <c r="S680">
        <v>7.0850481530064111E-2</v>
      </c>
      <c r="T680">
        <v>0.81690957561947231</v>
      </c>
      <c r="U680">
        <v>0</v>
      </c>
      <c r="V680">
        <v>9.2523972723914855E-2</v>
      </c>
      <c r="W680">
        <v>4.878481696791509E-2</v>
      </c>
      <c r="X680">
        <v>7.0561790872265594E-3</v>
      </c>
      <c r="Y680">
        <v>2.210525015760044E-3</v>
      </c>
    </row>
    <row r="681" spans="1:25" x14ac:dyDescent="0.25">
      <c r="A681" s="1096"/>
      <c r="B681" s="1455">
        <v>431</v>
      </c>
      <c r="C681" s="1100">
        <v>0.99277271295815117</v>
      </c>
      <c r="D681" s="1100">
        <v>1.002878898532229</v>
      </c>
      <c r="E681" s="1100">
        <v>0.96347087244698393</v>
      </c>
      <c r="F681" s="1100">
        <v>1.0463289934254973</v>
      </c>
      <c r="G681" s="1100">
        <v>0.96232894267388214</v>
      </c>
      <c r="H681" s="1100">
        <v>1.0020871515000307</v>
      </c>
      <c r="I681" s="1100">
        <v>1.0374698555077673</v>
      </c>
      <c r="K681">
        <v>1.1888296885131369</v>
      </c>
      <c r="L681">
        <v>0</v>
      </c>
      <c r="M681">
        <v>8.7071673317720244E-4</v>
      </c>
      <c r="N681">
        <v>7.1742264685225918E-2</v>
      </c>
      <c r="O681">
        <v>1.0400628691860753E-2</v>
      </c>
      <c r="P681">
        <v>1.3727970312667316E-2</v>
      </c>
      <c r="Q681">
        <v>4.3518298115258035E-4</v>
      </c>
      <c r="R681">
        <v>8.6879232596965303E-4</v>
      </c>
      <c r="S681">
        <v>7.6077770069132702E-2</v>
      </c>
      <c r="T681">
        <v>0.86852958509078171</v>
      </c>
      <c r="U681">
        <v>0</v>
      </c>
      <c r="V681">
        <v>9.0659592148911325E-2</v>
      </c>
      <c r="W681">
        <v>4.8179474514571108E-2</v>
      </c>
      <c r="X681">
        <v>6.7145781120649221E-3</v>
      </c>
      <c r="Y681">
        <v>2.364566313976111E-3</v>
      </c>
    </row>
    <row r="682" spans="1:25" x14ac:dyDescent="0.25">
      <c r="A682" s="1096"/>
      <c r="B682" s="1455">
        <v>432</v>
      </c>
      <c r="C682" s="1100">
        <v>1.0192766286698645</v>
      </c>
      <c r="D682" s="1100">
        <v>0.98270440268596049</v>
      </c>
      <c r="E682" s="1100">
        <v>0.96737690180294889</v>
      </c>
      <c r="F682" s="1100">
        <v>0.96213774047610878</v>
      </c>
      <c r="G682" s="1100">
        <v>0.98485330963831819</v>
      </c>
      <c r="H682" s="1100">
        <v>0.99776385336140461</v>
      </c>
      <c r="I682" s="1100">
        <v>0.99312974631169915</v>
      </c>
      <c r="K682">
        <v>1.1105712564324819</v>
      </c>
      <c r="L682">
        <v>0</v>
      </c>
      <c r="M682">
        <v>8.4447672243221858E-4</v>
      </c>
      <c r="N682">
        <v>7.0407649341969206E-2</v>
      </c>
      <c r="O682">
        <v>1.0214120975079682E-2</v>
      </c>
      <c r="P682">
        <v>1.2780033940797008E-2</v>
      </c>
      <c r="Q682">
        <v>4.2909312911430282E-4</v>
      </c>
      <c r="R682">
        <v>8.4260222221781145E-4</v>
      </c>
      <c r="S682">
        <v>7.1508556600507728E-2</v>
      </c>
      <c r="T682">
        <v>0.7983916786921077</v>
      </c>
      <c r="U682">
        <v>0</v>
      </c>
      <c r="V682">
        <v>9.0974877765004236E-2</v>
      </c>
      <c r="W682">
        <v>4.7170512560325693E-2</v>
      </c>
      <c r="X682">
        <v>6.4033224426617349E-3</v>
      </c>
      <c r="Y682">
        <v>2.293285485128979E-3</v>
      </c>
    </row>
    <row r="683" spans="1:25" x14ac:dyDescent="0.25">
      <c r="A683" s="1096"/>
      <c r="B683" s="1455">
        <v>433</v>
      </c>
      <c r="C683" s="1100">
        <v>1.0013203064686231</v>
      </c>
      <c r="D683" s="1100">
        <v>0.99356596980207135</v>
      </c>
      <c r="E683" s="1100">
        <v>0.97933394931663575</v>
      </c>
      <c r="F683" s="1100">
        <v>0.98297801867385792</v>
      </c>
      <c r="G683" s="1100">
        <v>1.0206908134818344</v>
      </c>
      <c r="H683" s="1100">
        <v>1.020831230989401</v>
      </c>
      <c r="I683" s="1100">
        <v>1.0239117197741983</v>
      </c>
      <c r="K683">
        <v>1.1394779911583515</v>
      </c>
      <c r="L683">
        <v>0</v>
      </c>
      <c r="M683">
        <v>8.5427378245130038E-4</v>
      </c>
      <c r="N683">
        <v>7.3853425682070858E-2</v>
      </c>
      <c r="O683">
        <v>1.0355573909048092E-2</v>
      </c>
      <c r="P683">
        <v>1.3200432317853341E-2</v>
      </c>
      <c r="Q683">
        <v>4.4037468919960347E-4</v>
      </c>
      <c r="R683">
        <v>8.5242038437565576E-4</v>
      </c>
      <c r="S683">
        <v>7.56005231353271E-2</v>
      </c>
      <c r="T683">
        <v>0.8148968823124999</v>
      </c>
      <c r="U683">
        <v>0</v>
      </c>
      <c r="V683">
        <v>9.2944965177942804E-2</v>
      </c>
      <c r="W683">
        <v>4.9121229610099772E-2</v>
      </c>
      <c r="X683">
        <v>6.7464304364191277E-3</v>
      </c>
      <c r="Y683">
        <v>2.3200072859663459E-3</v>
      </c>
    </row>
    <row r="684" spans="1:25" x14ac:dyDescent="0.25">
      <c r="A684" s="1096"/>
      <c r="B684" s="1455">
        <v>434</v>
      </c>
      <c r="C684" s="1100">
        <v>0.99056918445038311</v>
      </c>
      <c r="D684" s="1100">
        <v>1.0148337362202142</v>
      </c>
      <c r="E684" s="1100">
        <v>1.0078145477487706</v>
      </c>
      <c r="F684" s="1100">
        <v>1.0030987555961197</v>
      </c>
      <c r="G684" s="1100">
        <v>0.99667115823971575</v>
      </c>
      <c r="H684" s="1100">
        <v>1.0059014495336431</v>
      </c>
      <c r="I684" s="1100">
        <v>0.97227997675687006</v>
      </c>
      <c r="K684">
        <v>1.1509617879167509</v>
      </c>
      <c r="L684">
        <v>0</v>
      </c>
      <c r="M684">
        <v>7.9538305771000408E-4</v>
      </c>
      <c r="N684">
        <v>7.4941582424114625E-2</v>
      </c>
      <c r="O684">
        <v>1.0389005086441753E-2</v>
      </c>
      <c r="P684">
        <v>1.3618161701259443E-2</v>
      </c>
      <c r="Q684">
        <v>4.5467355054486252E-4</v>
      </c>
      <c r="R684">
        <v>7.9363181443788079E-4</v>
      </c>
      <c r="S684">
        <v>7.1225087745712859E-2</v>
      </c>
      <c r="T684">
        <v>0.82967980290247523</v>
      </c>
      <c r="U684">
        <v>0</v>
      </c>
      <c r="V684">
        <v>9.2190536336113099E-2</v>
      </c>
      <c r="W684">
        <v>4.9004097907140991E-2</v>
      </c>
      <c r="X684">
        <v>7.3005873279777013E-3</v>
      </c>
      <c r="Y684">
        <v>2.1600041782425944E-3</v>
      </c>
    </row>
    <row r="685" spans="1:25" x14ac:dyDescent="0.25">
      <c r="A685" s="1096"/>
      <c r="B685" s="1455">
        <v>435</v>
      </c>
      <c r="C685" s="1100">
        <v>0.98917006977681177</v>
      </c>
      <c r="D685" s="1100">
        <v>0.99940400185560885</v>
      </c>
      <c r="E685" s="1100">
        <v>0.98894735854004467</v>
      </c>
      <c r="F685" s="1100">
        <v>1.0118101949386846</v>
      </c>
      <c r="G685" s="1100">
        <v>1.0014889460278278</v>
      </c>
      <c r="H685" s="1100">
        <v>0.96680537697230995</v>
      </c>
      <c r="I685" s="1100">
        <v>1.0246676677243116</v>
      </c>
      <c r="K685">
        <v>1.1567766024577273</v>
      </c>
      <c r="L685">
        <v>0</v>
      </c>
      <c r="M685">
        <v>8.0099111376893668E-4</v>
      </c>
      <c r="N685">
        <v>7.1281516828112484E-2</v>
      </c>
      <c r="O685">
        <v>1.046141059383539E-2</v>
      </c>
      <c r="P685">
        <v>1.3583856272318865E-2</v>
      </c>
      <c r="Q685">
        <v>4.492335514965123E-4</v>
      </c>
      <c r="R685">
        <v>7.9915620608727114E-4</v>
      </c>
      <c r="S685">
        <v>7.4091038332224649E-2</v>
      </c>
      <c r="T685">
        <v>0.83815003059922633</v>
      </c>
      <c r="U685">
        <v>0</v>
      </c>
      <c r="V685">
        <v>9.2429022540390399E-2</v>
      </c>
      <c r="W685">
        <v>4.7137090643868021E-2</v>
      </c>
      <c r="X685">
        <v>7.020198252738339E-3</v>
      </c>
      <c r="Y685">
        <v>2.1750397511970166E-3</v>
      </c>
    </row>
    <row r="686" spans="1:25" x14ac:dyDescent="0.25">
      <c r="A686" s="1096"/>
      <c r="B686" s="1455">
        <v>436</v>
      </c>
      <c r="C686" s="1100">
        <v>0.97513252728922284</v>
      </c>
      <c r="D686" s="1100">
        <v>1.0258667515902216</v>
      </c>
      <c r="E686" s="1100">
        <v>0.97337097016620422</v>
      </c>
      <c r="F686" s="1100">
        <v>0.99056773523918962</v>
      </c>
      <c r="G686" s="1100">
        <v>0.98404198634093454</v>
      </c>
      <c r="H686" s="1100">
        <v>1.0127384859059343</v>
      </c>
      <c r="I686" s="1100">
        <v>1.0055444012862869</v>
      </c>
      <c r="K686">
        <v>1.1446321146949536</v>
      </c>
      <c r="L686">
        <v>0</v>
      </c>
      <c r="M686">
        <v>8.698491009698512E-4</v>
      </c>
      <c r="N686">
        <v>7.3853710279534274E-2</v>
      </c>
      <c r="O686">
        <v>1.0496492651166369E-2</v>
      </c>
      <c r="P686">
        <v>1.3205149300466719E-2</v>
      </c>
      <c r="Q686">
        <v>4.4366470105805593E-4</v>
      </c>
      <c r="R686">
        <v>8.679468308660876E-4</v>
      </c>
      <c r="S686">
        <v>7.4657050925776652E-2</v>
      </c>
      <c r="T686">
        <v>0.82158439388980875</v>
      </c>
      <c r="U686">
        <v>0</v>
      </c>
      <c r="V686">
        <v>9.2041173623690631E-2</v>
      </c>
      <c r="W686">
        <v>4.9299117925129185E-2</v>
      </c>
      <c r="X686">
        <v>6.6909985134046253E-3</v>
      </c>
      <c r="Y686">
        <v>2.362265155021592E-3</v>
      </c>
    </row>
    <row r="687" spans="1:25" x14ac:dyDescent="0.25">
      <c r="A687" s="1096"/>
      <c r="B687" s="1455">
        <v>437</v>
      </c>
      <c r="C687" s="1100">
        <v>1.0019932929836226</v>
      </c>
      <c r="D687" s="1100">
        <v>1.0140496140440116</v>
      </c>
      <c r="E687" s="1100">
        <v>1.0157587011191809</v>
      </c>
      <c r="F687" s="1100">
        <v>1.0083483079177742</v>
      </c>
      <c r="G687" s="1100">
        <v>0.96810091018441802</v>
      </c>
      <c r="H687" s="1100">
        <v>0.95576436352233518</v>
      </c>
      <c r="I687" s="1100">
        <v>0.98690918014646078</v>
      </c>
      <c r="K687">
        <v>1.1446084635249012</v>
      </c>
      <c r="L687">
        <v>0</v>
      </c>
      <c r="M687">
        <v>7.3511697840918805E-4</v>
      </c>
      <c r="N687">
        <v>7.0936080434797461E-2</v>
      </c>
      <c r="O687">
        <v>1.0276317249358999E-2</v>
      </c>
      <c r="P687">
        <v>1.3706521673141207E-2</v>
      </c>
      <c r="Q687">
        <v>4.5332398381058898E-4</v>
      </c>
      <c r="R687">
        <v>7.3341352132049711E-4</v>
      </c>
      <c r="S687">
        <v>6.9511600841746027E-2</v>
      </c>
      <c r="T687">
        <v>0.83349452329737528</v>
      </c>
      <c r="U687">
        <v>0</v>
      </c>
      <c r="V687">
        <v>9.0685339938323797E-2</v>
      </c>
      <c r="W687">
        <v>4.6168433804478631E-2</v>
      </c>
      <c r="X687">
        <v>7.381915923624748E-3</v>
      </c>
      <c r="Y687">
        <v>1.9961098353320668E-3</v>
      </c>
    </row>
    <row r="688" spans="1:25" x14ac:dyDescent="0.25">
      <c r="A688" s="1096"/>
      <c r="B688" s="1455">
        <v>438</v>
      </c>
      <c r="C688" s="1100">
        <v>1.0301620988968501</v>
      </c>
      <c r="D688" s="1100">
        <v>1.034627798797273</v>
      </c>
      <c r="E688" s="1100">
        <v>0.97734845378665869</v>
      </c>
      <c r="F688" s="1100">
        <v>1.0078188236108763</v>
      </c>
      <c r="G688" s="1100">
        <v>1.0428989976297203</v>
      </c>
      <c r="H688" s="1100">
        <v>0.97962614921344937</v>
      </c>
      <c r="I688" s="1100">
        <v>1.0183502315098452</v>
      </c>
      <c r="K688">
        <v>1.1439944796960431</v>
      </c>
      <c r="L688">
        <v>0</v>
      </c>
      <c r="M688">
        <v>7.8726063932483951E-4</v>
      </c>
      <c r="N688">
        <v>6.7646147952730926E-2</v>
      </c>
      <c r="O688">
        <v>9.9032891845071483E-3</v>
      </c>
      <c r="P688">
        <v>1.3385853484540149E-2</v>
      </c>
      <c r="Q688">
        <v>4.2029129879357717E-4</v>
      </c>
      <c r="R688">
        <v>7.85480787913909E-4</v>
      </c>
      <c r="S688">
        <v>6.9949565589501009E-2</v>
      </c>
      <c r="T688">
        <v>0.83562399404997778</v>
      </c>
      <c r="U688">
        <v>0</v>
      </c>
      <c r="V688">
        <v>9.320184483000396E-2</v>
      </c>
      <c r="W688">
        <v>4.504670317464516E-2</v>
      </c>
      <c r="X688">
        <v>6.6807502117244228E-3</v>
      </c>
      <c r="Y688">
        <v>2.1378197710295141E-3</v>
      </c>
    </row>
    <row r="689" spans="1:25" x14ac:dyDescent="0.25">
      <c r="A689" s="1096"/>
      <c r="B689" s="1455">
        <v>439</v>
      </c>
      <c r="C689" s="1100">
        <v>1.0001920194432308</v>
      </c>
      <c r="D689" s="1100">
        <v>1.0309729383471029</v>
      </c>
      <c r="E689" s="1100">
        <v>0.97408996262988712</v>
      </c>
      <c r="F689" s="1100">
        <v>0.9671391452924758</v>
      </c>
      <c r="G689" s="1100">
        <v>1.0046152612299026</v>
      </c>
      <c r="H689" s="1100">
        <v>0.98975073407199787</v>
      </c>
      <c r="I689" s="1100">
        <v>0.9990778052668815</v>
      </c>
      <c r="K689">
        <v>1.115100782261272</v>
      </c>
      <c r="L689">
        <v>0</v>
      </c>
      <c r="M689">
        <v>8.2593362042827749E-4</v>
      </c>
      <c r="N689">
        <v>7.0274319413486955E-2</v>
      </c>
      <c r="O689">
        <v>1.021343386946915E-2</v>
      </c>
      <c r="P689">
        <v>1.2909221389746102E-2</v>
      </c>
      <c r="Q689">
        <v>4.3201709938136244E-4</v>
      </c>
      <c r="R689">
        <v>8.2408543777290539E-4</v>
      </c>
      <c r="S689">
        <v>7.121328879682616E-2</v>
      </c>
      <c r="T689">
        <v>0.80210591609164827</v>
      </c>
      <c r="U689">
        <v>0</v>
      </c>
      <c r="V689">
        <v>9.2284707677769334E-2</v>
      </c>
      <c r="W689">
        <v>4.6889326234710295E-2</v>
      </c>
      <c r="X689">
        <v>6.5375109689620277E-3</v>
      </c>
      <c r="Y689">
        <v>2.2428889019262964E-3</v>
      </c>
    </row>
    <row r="690" spans="1:25" x14ac:dyDescent="0.25">
      <c r="A690" s="1096"/>
      <c r="B690" s="1455">
        <v>440</v>
      </c>
      <c r="C690" s="1100">
        <v>1.0150436870401931</v>
      </c>
      <c r="D690" s="1100">
        <v>1.0349098615215737</v>
      </c>
      <c r="E690" s="1100">
        <v>0.99964414041920302</v>
      </c>
      <c r="F690" s="1100">
        <v>0.98042592878877999</v>
      </c>
      <c r="G690" s="1100">
        <v>0.99677423957643507</v>
      </c>
      <c r="H690" s="1100">
        <v>0.97393125998164831</v>
      </c>
      <c r="I690" s="1100">
        <v>1.0123803777267681</v>
      </c>
      <c r="K690">
        <v>1.121712506233032</v>
      </c>
      <c r="L690">
        <v>0</v>
      </c>
      <c r="M690">
        <v>7.5842191266922178E-4</v>
      </c>
      <c r="N690">
        <v>6.9712154267288981E-2</v>
      </c>
      <c r="O690">
        <v>1.0056774579219373E-2</v>
      </c>
      <c r="P690">
        <v>1.326730056461582E-2</v>
      </c>
      <c r="Q690">
        <v>4.3654101443604988E-4</v>
      </c>
      <c r="R690">
        <v>7.5669723418785983E-4</v>
      </c>
      <c r="S690">
        <v>7.0362769316066151E-2</v>
      </c>
      <c r="T690">
        <v>0.81145609168814459</v>
      </c>
      <c r="U690">
        <v>0</v>
      </c>
      <c r="V690">
        <v>9.1590405328854069E-2</v>
      </c>
      <c r="W690">
        <v>4.5805834811225403E-2</v>
      </c>
      <c r="X690">
        <v>6.966878915378413E-3</v>
      </c>
      <c r="Y690">
        <v>2.059480426283144E-3</v>
      </c>
    </row>
    <row r="691" spans="1:25" x14ac:dyDescent="0.25">
      <c r="A691" s="1096"/>
      <c r="B691" s="1455">
        <v>441</v>
      </c>
      <c r="C691" s="1100">
        <v>0.97631665140892843</v>
      </c>
      <c r="D691" s="1100">
        <v>1.0109429398588239</v>
      </c>
      <c r="E691" s="1100">
        <v>1.0041530498648275</v>
      </c>
      <c r="F691" s="1100">
        <v>0.98712300055252111</v>
      </c>
      <c r="G691" s="1100">
        <v>1.0074734240345897</v>
      </c>
      <c r="H691" s="1100">
        <v>1.0156467073860389</v>
      </c>
      <c r="I691" s="1100">
        <v>1.0475326495576454</v>
      </c>
      <c r="K691">
        <v>1.1490118955358284</v>
      </c>
      <c r="L691">
        <v>0</v>
      </c>
      <c r="M691">
        <v>8.2229288481006915E-4</v>
      </c>
      <c r="N691">
        <v>7.662669957799538E-2</v>
      </c>
      <c r="O691">
        <v>1.0555651657530028E-2</v>
      </c>
      <c r="P691">
        <v>1.3513705315452942E-2</v>
      </c>
      <c r="Q691">
        <v>4.602752875120637E-4</v>
      </c>
      <c r="R691">
        <v>8.2049976443534405E-4</v>
      </c>
      <c r="S691">
        <v>7.8430442164063738E-2</v>
      </c>
      <c r="T691">
        <v>0.81670457443810907</v>
      </c>
      <c r="U691">
        <v>0</v>
      </c>
      <c r="V691">
        <v>9.301700958330994E-2</v>
      </c>
      <c r="W691">
        <v>5.0214635866577297E-2</v>
      </c>
      <c r="X691">
        <v>7.2575648845341623E-3</v>
      </c>
      <c r="Y691">
        <v>2.2331298811183531E-3</v>
      </c>
    </row>
    <row r="692" spans="1:25" x14ac:dyDescent="0.25">
      <c r="A692" s="1096"/>
      <c r="B692" s="1455">
        <v>442</v>
      </c>
      <c r="C692" s="1100">
        <v>1.0050326825812386</v>
      </c>
      <c r="D692" s="1100">
        <v>1.0015742133002299</v>
      </c>
      <c r="E692" s="1100">
        <v>1.014492617034368</v>
      </c>
      <c r="F692" s="1100">
        <v>1.0203746022874316</v>
      </c>
      <c r="G692" s="1100">
        <v>0.98563767554504866</v>
      </c>
      <c r="H692" s="1100">
        <v>1.0099893334697552</v>
      </c>
      <c r="I692" s="1100">
        <v>0.99854360899397987</v>
      </c>
      <c r="K692">
        <v>1.1657504774648149</v>
      </c>
      <c r="L692">
        <v>0</v>
      </c>
      <c r="M692">
        <v>7.8037020713301046E-4</v>
      </c>
      <c r="N692">
        <v>7.5025031459597144E-2</v>
      </c>
      <c r="O692">
        <v>1.029568245568782E-2</v>
      </c>
      <c r="P692">
        <v>1.3885950354936769E-2</v>
      </c>
      <c r="Q692">
        <v>4.5360541440183928E-4</v>
      </c>
      <c r="R692">
        <v>7.7865897285418555E-4</v>
      </c>
      <c r="S692">
        <v>7.2757182487544106E-2</v>
      </c>
      <c r="T692">
        <v>0.84352027987109013</v>
      </c>
      <c r="U692">
        <v>0</v>
      </c>
      <c r="V692">
        <v>9.1359885554006884E-2</v>
      </c>
      <c r="W692">
        <v>4.8866031387334703E-2</v>
      </c>
      <c r="X692">
        <v>7.4692866752462932E-3</v>
      </c>
      <c r="Y692">
        <v>2.1192530392476778E-3</v>
      </c>
    </row>
    <row r="693" spans="1:25" x14ac:dyDescent="0.25">
      <c r="A693" s="1096"/>
      <c r="B693" s="1455">
        <v>443</v>
      </c>
      <c r="C693" s="1100">
        <v>1.0114882965553824</v>
      </c>
      <c r="D693" s="1100">
        <v>1.0056130133954673</v>
      </c>
      <c r="E693" s="1100">
        <v>1.0070415235991668</v>
      </c>
      <c r="F693" s="1100">
        <v>1.0042227110940309</v>
      </c>
      <c r="G693" s="1100">
        <v>1.0218516552548293</v>
      </c>
      <c r="H693" s="1100">
        <v>0.98109281852105357</v>
      </c>
      <c r="I693" s="1100">
        <v>0.9935438946808175</v>
      </c>
      <c r="K693">
        <v>1.1463671049884347</v>
      </c>
      <c r="L693">
        <v>0</v>
      </c>
      <c r="M693">
        <v>7.6372628854817564E-4</v>
      </c>
      <c r="N693">
        <v>7.1787081899206281E-2</v>
      </c>
      <c r="O693">
        <v>1.0211108423874762E-2</v>
      </c>
      <c r="P693">
        <v>1.362317755937947E-2</v>
      </c>
      <c r="Q693">
        <v>4.4654223727116124E-4</v>
      </c>
      <c r="R693">
        <v>7.6200222519307839E-4</v>
      </c>
      <c r="S693">
        <v>7.0621677124926591E-2</v>
      </c>
      <c r="T693">
        <v>0.83066065252167165</v>
      </c>
      <c r="U693">
        <v>0</v>
      </c>
      <c r="V693">
        <v>9.2749359241005372E-2</v>
      </c>
      <c r="W693">
        <v>4.6962824336173832E-2</v>
      </c>
      <c r="X693">
        <v>7.232486845269984E-3</v>
      </c>
      <c r="Y693">
        <v>2.0739188630095346E-3</v>
      </c>
    </row>
    <row r="694" spans="1:25" x14ac:dyDescent="0.25">
      <c r="A694" s="1096"/>
      <c r="B694" s="1455">
        <v>444</v>
      </c>
      <c r="C694" s="1100">
        <v>1.0139860357587303</v>
      </c>
      <c r="D694" s="1100">
        <v>1.0306869799196388</v>
      </c>
      <c r="E694" s="1100">
        <v>0.99312561401567012</v>
      </c>
      <c r="F694" s="1100">
        <v>0.98061104538580168</v>
      </c>
      <c r="G694" s="1100">
        <v>0.98607008321023082</v>
      </c>
      <c r="H694" s="1100">
        <v>0.97633536643632246</v>
      </c>
      <c r="I694" s="1100">
        <v>1.031585779963998</v>
      </c>
      <c r="K694">
        <v>1.1234930913308463</v>
      </c>
      <c r="L694">
        <v>0</v>
      </c>
      <c r="M694">
        <v>7.7270481246019269E-4</v>
      </c>
      <c r="N694">
        <v>6.9639953726085807E-2</v>
      </c>
      <c r="O694">
        <v>1.00816654221767E-2</v>
      </c>
      <c r="P694">
        <v>1.3227028134602654E-2</v>
      </c>
      <c r="Q694">
        <v>4.3475770909543512E-4</v>
      </c>
      <c r="R694">
        <v>7.7095198094271548E-4</v>
      </c>
      <c r="S694">
        <v>7.2014155271913766E-2</v>
      </c>
      <c r="T694">
        <v>0.81203324301325108</v>
      </c>
      <c r="U694">
        <v>0</v>
      </c>
      <c r="V694">
        <v>9.1157254557808765E-2</v>
      </c>
      <c r="W694">
        <v>4.5936526574054504E-2</v>
      </c>
      <c r="X694">
        <v>6.8719826055011184E-3</v>
      </c>
      <c r="Y694">
        <v>2.0982771478738563E-3</v>
      </c>
    </row>
    <row r="695" spans="1:25" x14ac:dyDescent="0.25">
      <c r="A695" s="1096"/>
      <c r="B695" s="1455">
        <v>445</v>
      </c>
      <c r="C695" s="1100">
        <v>1.0255517516300379</v>
      </c>
      <c r="D695" s="1100">
        <v>1.009518860472266</v>
      </c>
      <c r="E695" s="1100">
        <v>1.0183058290147196</v>
      </c>
      <c r="F695" s="1100">
        <v>0.99073311701454214</v>
      </c>
      <c r="G695" s="1100">
        <v>1.0422637459795772</v>
      </c>
      <c r="H695" s="1100">
        <v>0.9723701689593135</v>
      </c>
      <c r="I695" s="1100">
        <v>1.0186169791637669</v>
      </c>
      <c r="K695">
        <v>1.1332061326014831</v>
      </c>
      <c r="L695">
        <v>0</v>
      </c>
      <c r="M695">
        <v>7.2815155720869337E-4</v>
      </c>
      <c r="N695">
        <v>7.0808867226332492E-2</v>
      </c>
      <c r="O695">
        <v>1.0059066992221734E-2</v>
      </c>
      <c r="P695">
        <v>1.3584357777589703E-2</v>
      </c>
      <c r="Q695">
        <v>4.4486723264567887E-4</v>
      </c>
      <c r="R695">
        <v>7.2649305622396335E-4</v>
      </c>
      <c r="S695">
        <v>7.0930496272285093E-2</v>
      </c>
      <c r="T695">
        <v>0.81876823804555987</v>
      </c>
      <c r="U695">
        <v>0</v>
      </c>
      <c r="V695">
        <v>9.3287301619971452E-2</v>
      </c>
      <c r="W695">
        <v>4.6016851482855912E-2</v>
      </c>
      <c r="X695">
        <v>7.3304698423357004E-3</v>
      </c>
      <c r="Y695">
        <v>1.9772746106700083E-3</v>
      </c>
    </row>
    <row r="696" spans="1:25" x14ac:dyDescent="0.25">
      <c r="A696" s="1096"/>
      <c r="B696" s="1455">
        <v>446</v>
      </c>
      <c r="C696" s="1100">
        <v>0.98053059518445163</v>
      </c>
      <c r="D696" s="1100">
        <v>0.99979847387177156</v>
      </c>
      <c r="E696" s="1100">
        <v>0.98124629211509218</v>
      </c>
      <c r="F696" s="1100">
        <v>1.0051261371383715</v>
      </c>
      <c r="G696" s="1100">
        <v>1.0080685678047208</v>
      </c>
      <c r="H696" s="1100">
        <v>0.98105015127130479</v>
      </c>
      <c r="I696" s="1100">
        <v>0.9800541980377091</v>
      </c>
      <c r="K696">
        <v>1.152200501896995</v>
      </c>
      <c r="L696">
        <v>0</v>
      </c>
      <c r="M696">
        <v>8.329951873625724E-4</v>
      </c>
      <c r="N696">
        <v>7.2425347011059724E-2</v>
      </c>
      <c r="O696">
        <v>1.0549355824119594E-2</v>
      </c>
      <c r="P696">
        <v>1.3416638098358144E-2</v>
      </c>
      <c r="Q696">
        <v>4.4948801948117178E-4</v>
      </c>
      <c r="R696">
        <v>8.3111467210647484E-4</v>
      </c>
      <c r="S696">
        <v>7.2045269521115812E-2</v>
      </c>
      <c r="T696">
        <v>0.83312937376273277</v>
      </c>
      <c r="U696">
        <v>0</v>
      </c>
      <c r="V696">
        <v>9.2930005309594083E-2</v>
      </c>
      <c r="W696">
        <v>4.8115809572118987E-2</v>
      </c>
      <c r="X696">
        <v>6.8790751330748924E-3</v>
      </c>
      <c r="Y696">
        <v>2.2620201605957975E-3</v>
      </c>
    </row>
    <row r="697" spans="1:25" x14ac:dyDescent="0.25">
      <c r="A697" s="1096"/>
      <c r="B697" s="1455">
        <v>447</v>
      </c>
      <c r="C697" s="1100">
        <v>1.0109773160087379</v>
      </c>
      <c r="D697" s="1100">
        <v>0.99345635592403181</v>
      </c>
      <c r="E697" s="1100">
        <v>1.0372401701325475</v>
      </c>
      <c r="F697" s="1100">
        <v>1.0361500330561701</v>
      </c>
      <c r="G697" s="1100">
        <v>0.98466319380702361</v>
      </c>
      <c r="H697" s="1100">
        <v>1.0256562924541162</v>
      </c>
      <c r="I697" s="1100">
        <v>1.0341176091148792</v>
      </c>
      <c r="K697">
        <v>1.1846806321476315</v>
      </c>
      <c r="L697">
        <v>0</v>
      </c>
      <c r="M697">
        <v>7.5381551460352181E-4</v>
      </c>
      <c r="N697">
        <v>7.7620344407840686E-2</v>
      </c>
      <c r="O697">
        <v>1.0275927875525731E-2</v>
      </c>
      <c r="P697">
        <v>1.4321064752643485E-2</v>
      </c>
      <c r="Q697">
        <v>4.6305639032712093E-4</v>
      </c>
      <c r="R697">
        <v>7.521877604931013E-4</v>
      </c>
      <c r="S697">
        <v>7.5901177363045844E-2</v>
      </c>
      <c r="T697">
        <v>0.85502078718375385</v>
      </c>
      <c r="U697">
        <v>0</v>
      </c>
      <c r="V697">
        <v>9.1177185008903913E-2</v>
      </c>
      <c r="W697">
        <v>4.9891104165169724E-2</v>
      </c>
      <c r="X697">
        <v>7.9644056290978336E-3</v>
      </c>
      <c r="Y697">
        <v>2.0472071254336159E-3</v>
      </c>
    </row>
    <row r="698" spans="1:25" x14ac:dyDescent="0.25">
      <c r="A698" s="1096"/>
      <c r="B698" s="1455">
        <v>448</v>
      </c>
      <c r="C698" s="1100">
        <v>1.0125197377678812</v>
      </c>
      <c r="D698" s="1100">
        <v>0.96515996452466601</v>
      </c>
      <c r="E698" s="1100">
        <v>1.0228495580616419</v>
      </c>
      <c r="F698" s="1100">
        <v>1.0040248762248061</v>
      </c>
      <c r="G698" s="1100">
        <v>1.0252553663402131</v>
      </c>
      <c r="H698" s="1100">
        <v>0.98072747664776116</v>
      </c>
      <c r="I698" s="1100">
        <v>1.0170633402300562</v>
      </c>
      <c r="K698">
        <v>1.152241851289761</v>
      </c>
      <c r="L698">
        <v>0</v>
      </c>
      <c r="M698">
        <v>7.5022662626333925E-4</v>
      </c>
      <c r="N698">
        <v>7.3963866018901855E-2</v>
      </c>
      <c r="O698">
        <v>1.0374815944618292E-2</v>
      </c>
      <c r="P698">
        <v>1.3811435023640291E-2</v>
      </c>
      <c r="Q698">
        <v>4.6090801075692465E-4</v>
      </c>
      <c r="R698">
        <v>7.4853240663642386E-4</v>
      </c>
      <c r="S698">
        <v>7.3766711595358095E-2</v>
      </c>
      <c r="T698">
        <v>0.82945391677760449</v>
      </c>
      <c r="U698">
        <v>0</v>
      </c>
      <c r="V698">
        <v>9.2872116984094963E-2</v>
      </c>
      <c r="W698">
        <v>4.7939652938307382E-2</v>
      </c>
      <c r="X698">
        <v>7.5628637588832119E-3</v>
      </c>
      <c r="Y698">
        <v>2.0372584572228144E-3</v>
      </c>
    </row>
    <row r="699" spans="1:25" x14ac:dyDescent="0.25">
      <c r="A699" s="1096"/>
      <c r="B699" s="1455">
        <v>449</v>
      </c>
      <c r="C699" s="1100">
        <v>1.0197508712599415</v>
      </c>
      <c r="D699" s="1100">
        <v>0.99400744700036381</v>
      </c>
      <c r="E699" s="1100">
        <v>1.0151483912241508</v>
      </c>
      <c r="F699" s="1100">
        <v>1.0298390581762462</v>
      </c>
      <c r="G699" s="1100">
        <v>0.99318851131264885</v>
      </c>
      <c r="H699" s="1100">
        <v>0.99268143580122103</v>
      </c>
      <c r="I699" s="1100">
        <v>1.0324730854010649</v>
      </c>
      <c r="K699">
        <v>1.1709458032622448</v>
      </c>
      <c r="L699">
        <v>0</v>
      </c>
      <c r="M699">
        <v>7.5719055023800829E-4</v>
      </c>
      <c r="N699">
        <v>7.2937950092820239E-2</v>
      </c>
      <c r="O699">
        <v>1.0178122203219057E-2</v>
      </c>
      <c r="P699">
        <v>1.4012713298395348E-2</v>
      </c>
      <c r="Q699">
        <v>4.4871924016067589E-4</v>
      </c>
      <c r="R699">
        <v>7.5550119546562795E-4</v>
      </c>
      <c r="S699">
        <v>7.3718442722069136E-2</v>
      </c>
      <c r="T699">
        <v>0.85129994193519976</v>
      </c>
      <c r="U699">
        <v>0</v>
      </c>
      <c r="V699">
        <v>9.1326754879451591E-2</v>
      </c>
      <c r="W699">
        <v>4.7488355876738518E-2</v>
      </c>
      <c r="X699">
        <v>7.4802671658065652E-3</v>
      </c>
      <c r="Y699">
        <v>2.0562252031552878E-3</v>
      </c>
    </row>
    <row r="700" spans="1:25" x14ac:dyDescent="0.25">
      <c r="A700" s="1096"/>
      <c r="B700" s="1455">
        <v>450</v>
      </c>
      <c r="C700" s="1100">
        <v>0.99776741319617823</v>
      </c>
      <c r="D700" s="1100">
        <v>0.98692662314698476</v>
      </c>
      <c r="E700" s="1100">
        <v>1.0103216492050264</v>
      </c>
      <c r="F700" s="1100">
        <v>1.0167835176676827</v>
      </c>
      <c r="G700" s="1100">
        <v>0.98647202403598999</v>
      </c>
      <c r="H700" s="1100">
        <v>0.99582351373883837</v>
      </c>
      <c r="I700" s="1100">
        <v>1.0070730646452144</v>
      </c>
      <c r="K700">
        <v>1.1639493875479883</v>
      </c>
      <c r="L700">
        <v>0</v>
      </c>
      <c r="M700">
        <v>7.8639561253995459E-4</v>
      </c>
      <c r="N700">
        <v>7.4656096370245423E-2</v>
      </c>
      <c r="O700">
        <v>1.0430567597014868E-2</v>
      </c>
      <c r="P700">
        <v>1.3824735314460119E-2</v>
      </c>
      <c r="Q700">
        <v>4.5763861359422915E-4</v>
      </c>
      <c r="R700">
        <v>7.8464663479647489E-4</v>
      </c>
      <c r="S700">
        <v>7.3883683967674835E-2</v>
      </c>
      <c r="T700">
        <v>0.84083068021505436</v>
      </c>
      <c r="U700">
        <v>0</v>
      </c>
      <c r="V700">
        <v>9.1574440885715383E-2</v>
      </c>
      <c r="W700">
        <v>4.8745249128208171E-2</v>
      </c>
      <c r="X700">
        <v>7.4124949525419823E-3</v>
      </c>
      <c r="Y700">
        <v>2.1355494812223597E-3</v>
      </c>
    </row>
    <row r="701" spans="1:25" x14ac:dyDescent="0.25">
      <c r="A701" s="1096"/>
      <c r="B701" s="1455">
        <v>451</v>
      </c>
      <c r="C701" s="1100">
        <v>1.0061384878622159</v>
      </c>
      <c r="D701" s="1100">
        <v>0.99488022501176188</v>
      </c>
      <c r="E701" s="1100">
        <v>1.0264235669449029</v>
      </c>
      <c r="F701" s="1100">
        <v>1.0327429190822288</v>
      </c>
      <c r="G701" s="1100">
        <v>1.0147500515518759</v>
      </c>
      <c r="H701" s="1100">
        <v>0.97772418034410247</v>
      </c>
      <c r="I701" s="1100">
        <v>1.0308122464626226</v>
      </c>
      <c r="K701">
        <v>1.1752685863337995</v>
      </c>
      <c r="L701">
        <v>0</v>
      </c>
      <c r="M701">
        <v>7.3808405639243463E-4</v>
      </c>
      <c r="N701">
        <v>7.3554781692233506E-2</v>
      </c>
      <c r="O701">
        <v>1.0315891597285971E-2</v>
      </c>
      <c r="P701">
        <v>1.4172436259850089E-2</v>
      </c>
      <c r="Q701">
        <v>4.5991733376394086E-4</v>
      </c>
      <c r="R701">
        <v>7.3641213811311457E-4</v>
      </c>
      <c r="S701">
        <v>7.3950587368251677E-2</v>
      </c>
      <c r="T701">
        <v>0.85293730358403763</v>
      </c>
      <c r="U701">
        <v>0</v>
      </c>
      <c r="V701">
        <v>9.2578990124256952E-2</v>
      </c>
      <c r="W701">
        <v>4.7575284351394458E-2</v>
      </c>
      <c r="X701">
        <v>7.720794859255674E-3</v>
      </c>
      <c r="Y701">
        <v>2.0042710817478118E-3</v>
      </c>
    </row>
    <row r="702" spans="1:25" x14ac:dyDescent="0.25">
      <c r="A702" s="1096"/>
      <c r="B702" s="1455">
        <v>452</v>
      </c>
      <c r="C702" s="1100">
        <v>1.0091718842988251</v>
      </c>
      <c r="D702" s="1100">
        <v>1.0402423124320395</v>
      </c>
      <c r="E702" s="1100">
        <v>0.99372160832968948</v>
      </c>
      <c r="F702" s="1100">
        <v>0.97787873852066065</v>
      </c>
      <c r="G702" s="1100">
        <v>1.0086845808469307</v>
      </c>
      <c r="H702" s="1100">
        <v>0.98166131184538097</v>
      </c>
      <c r="I702" s="1100">
        <v>0.97004949296594079</v>
      </c>
      <c r="K702">
        <v>1.1189383539362598</v>
      </c>
      <c r="L702">
        <v>0</v>
      </c>
      <c r="M702">
        <v>7.7679005295020539E-4</v>
      </c>
      <c r="N702">
        <v>7.0135233936382796E-2</v>
      </c>
      <c r="O702">
        <v>1.0092626490658131E-2</v>
      </c>
      <c r="P702">
        <v>1.3160903216321615E-2</v>
      </c>
      <c r="Q702">
        <v>4.3549215842928965E-4</v>
      </c>
      <c r="R702">
        <v>7.7503751448749277E-4</v>
      </c>
      <c r="S702">
        <v>6.7925128125041978E-2</v>
      </c>
      <c r="T702">
        <v>0.80973194077208355</v>
      </c>
      <c r="U702">
        <v>0</v>
      </c>
      <c r="V702">
        <v>9.224085961947659E-2</v>
      </c>
      <c r="W702">
        <v>4.6246757632504916E-2</v>
      </c>
      <c r="X702">
        <v>6.8617679004366449E-3</v>
      </c>
      <c r="Y702">
        <v>2.1093966233869696E-3</v>
      </c>
    </row>
    <row r="703" spans="1:25" x14ac:dyDescent="0.25">
      <c r="A703" s="1096"/>
      <c r="B703" s="1455">
        <v>453</v>
      </c>
      <c r="C703" s="1100">
        <v>0.97067202475757874</v>
      </c>
      <c r="D703" s="1100">
        <v>1.0217662320111738</v>
      </c>
      <c r="E703" s="1100">
        <v>0.99287248011904516</v>
      </c>
      <c r="F703" s="1100">
        <v>0.99682992856490094</v>
      </c>
      <c r="G703" s="1100">
        <v>1.0237129310395277</v>
      </c>
      <c r="H703" s="1100">
        <v>0.96765654468195073</v>
      </c>
      <c r="I703" s="1100">
        <v>0.99251358740546702</v>
      </c>
      <c r="K703">
        <v>1.1454382184510841</v>
      </c>
      <c r="L703">
        <v>0</v>
      </c>
      <c r="M703">
        <v>8.0321753660882406E-4</v>
      </c>
      <c r="N703">
        <v>7.2333066228964016E-2</v>
      </c>
      <c r="O703">
        <v>1.0568135315335113E-2</v>
      </c>
      <c r="P703">
        <v>1.3447961194126222E-2</v>
      </c>
      <c r="Q703">
        <v>4.5561964680513955E-4</v>
      </c>
      <c r="R703">
        <v>8.0137914714874855E-4</v>
      </c>
      <c r="S703">
        <v>7.234433760260521E-2</v>
      </c>
      <c r="T703">
        <v>0.82548068489262572</v>
      </c>
      <c r="U703">
        <v>0</v>
      </c>
      <c r="V703">
        <v>9.3857246137681941E-2</v>
      </c>
      <c r="W703">
        <v>4.7720200157990146E-2</v>
      </c>
      <c r="X703">
        <v>7.051715800437011E-3</v>
      </c>
      <c r="Y703">
        <v>2.1810898639740349E-3</v>
      </c>
    </row>
    <row r="704" spans="1:25" x14ac:dyDescent="0.25">
      <c r="A704" s="1096"/>
      <c r="B704" s="1455">
        <v>454</v>
      </c>
      <c r="C704" s="1100">
        <v>0.98085333495345084</v>
      </c>
      <c r="D704" s="1100">
        <v>0.96826988256278868</v>
      </c>
      <c r="E704" s="1100">
        <v>1.015487413140949</v>
      </c>
      <c r="F704" s="1100">
        <v>1.016634625008161</v>
      </c>
      <c r="G704" s="1100">
        <v>0.96398907650074928</v>
      </c>
      <c r="H704" s="1100">
        <v>1.0012935303235986</v>
      </c>
      <c r="I704" s="1100">
        <v>0.98048353350341866</v>
      </c>
      <c r="K704">
        <v>1.1679668560301195</v>
      </c>
      <c r="L704">
        <v>0</v>
      </c>
      <c r="M704">
        <v>8.0185873180920635E-4</v>
      </c>
      <c r="N704">
        <v>7.7321258320779837E-2</v>
      </c>
      <c r="O704">
        <v>1.0693493844808066E-2</v>
      </c>
      <c r="P704">
        <v>1.3867116322017609E-2</v>
      </c>
      <c r="Q704">
        <v>4.7159957556723982E-4</v>
      </c>
      <c r="R704">
        <v>8.0008510587436057E-4</v>
      </c>
      <c r="S704">
        <v>7.412657688777087E-2</v>
      </c>
      <c r="T704">
        <v>0.84036206185753215</v>
      </c>
      <c r="U704">
        <v>0</v>
      </c>
      <c r="V704">
        <v>9.1042744300654024E-2</v>
      </c>
      <c r="W704">
        <v>5.0332214090102897E-2</v>
      </c>
      <c r="X704">
        <v>7.5739965466156047E-3</v>
      </c>
      <c r="Y704">
        <v>2.177567910205742E-3</v>
      </c>
    </row>
    <row r="705" spans="1:25" x14ac:dyDescent="0.25">
      <c r="A705" s="1096"/>
      <c r="B705" s="1455">
        <v>455</v>
      </c>
      <c r="C705" s="1100">
        <v>1.0011968407086596</v>
      </c>
      <c r="D705" s="1100">
        <v>0.99146051442914152</v>
      </c>
      <c r="E705" s="1100">
        <v>1.0193958516869062</v>
      </c>
      <c r="F705" s="1100">
        <v>1.0383941483088852</v>
      </c>
      <c r="G705" s="1100">
        <v>1.0058637882275432</v>
      </c>
      <c r="H705" s="1100">
        <v>1.0417334670855531</v>
      </c>
      <c r="I705" s="1100">
        <v>0.99782447827439447</v>
      </c>
      <c r="K705">
        <v>1.1891986545810616</v>
      </c>
      <c r="L705">
        <v>0</v>
      </c>
      <c r="M705">
        <v>8.0303725258612697E-4</v>
      </c>
      <c r="N705">
        <v>7.836024851015562E-2</v>
      </c>
      <c r="O705">
        <v>1.037878276219804E-2</v>
      </c>
      <c r="P705">
        <v>1.4177145890773072E-2</v>
      </c>
      <c r="Q705">
        <v>4.5950480395851528E-4</v>
      </c>
      <c r="R705">
        <v>8.0132997297567619E-4</v>
      </c>
      <c r="S705">
        <v>7.4661921061881589E-2</v>
      </c>
      <c r="T705">
        <v>0.85808233987202165</v>
      </c>
      <c r="U705">
        <v>0</v>
      </c>
      <c r="V705">
        <v>9.231970322484781E-2</v>
      </c>
      <c r="W705">
        <v>5.0891804387933809E-2</v>
      </c>
      <c r="X705">
        <v>7.6879553188149343E-3</v>
      </c>
      <c r="Y705">
        <v>2.180956028085193E-3</v>
      </c>
    </row>
    <row r="706" spans="1:25" x14ac:dyDescent="0.25">
      <c r="A706" s="1096"/>
      <c r="B706" s="1455">
        <v>456</v>
      </c>
      <c r="C706" s="1100">
        <v>1.0080565553353897</v>
      </c>
      <c r="D706" s="1100">
        <v>1.0252687888539882</v>
      </c>
      <c r="E706" s="1100">
        <v>0.992540975783756</v>
      </c>
      <c r="F706" s="1100">
        <v>1.0261385459604713</v>
      </c>
      <c r="G706" s="1100">
        <v>0.96883626707975767</v>
      </c>
      <c r="H706" s="1100">
        <v>1.0263756993448381</v>
      </c>
      <c r="I706" s="1100">
        <v>1.025590404404217</v>
      </c>
      <c r="K706">
        <v>1.1707005841191402</v>
      </c>
      <c r="L706">
        <v>0</v>
      </c>
      <c r="M706">
        <v>8.1980345177372371E-4</v>
      </c>
      <c r="N706">
        <v>7.3762432643367473E-2</v>
      </c>
      <c r="O706">
        <v>1.0162181682421789E-2</v>
      </c>
      <c r="P706">
        <v>1.3755244145462326E-2</v>
      </c>
      <c r="Q706">
        <v>4.3797137896549256E-4</v>
      </c>
      <c r="R706">
        <v>8.1803444718518497E-4</v>
      </c>
      <c r="S706">
        <v>7.4261895891640992E-2</v>
      </c>
      <c r="T706">
        <v>0.84977392327345902</v>
      </c>
      <c r="U706">
        <v>0</v>
      </c>
      <c r="V706">
        <v>9.056403073368717E-2</v>
      </c>
      <c r="W706">
        <v>4.8672838588071629E-2</v>
      </c>
      <c r="X706">
        <v>7.0854146863964509E-3</v>
      </c>
      <c r="Y706">
        <v>2.2264201002550328E-3</v>
      </c>
    </row>
    <row r="707" spans="1:25" x14ac:dyDescent="0.25">
      <c r="A707" s="1096"/>
      <c r="B707" s="1455">
        <v>457</v>
      </c>
      <c r="C707" s="1100">
        <v>1.0387055103386396</v>
      </c>
      <c r="D707" s="1100">
        <v>0.98515873905731255</v>
      </c>
      <c r="E707" s="1100">
        <v>1.0244819659259046</v>
      </c>
      <c r="F707" s="1100">
        <v>0.9965874798957477</v>
      </c>
      <c r="G707" s="1100">
        <v>1.0246326044656073</v>
      </c>
      <c r="H707" s="1100">
        <v>1.0442287184620436</v>
      </c>
      <c r="I707" s="1100">
        <v>0.98490522609836129</v>
      </c>
      <c r="K707">
        <v>1.1462239603779909</v>
      </c>
      <c r="L707">
        <v>0</v>
      </c>
      <c r="M707">
        <v>7.6968348756795753E-4</v>
      </c>
      <c r="N707">
        <v>7.6267099928816043E-2</v>
      </c>
      <c r="O707">
        <v>1.0031160554369445E-2</v>
      </c>
      <c r="P707">
        <v>1.3698907495807823E-2</v>
      </c>
      <c r="Q707">
        <v>4.4636322979866005E-4</v>
      </c>
      <c r="R707">
        <v>7.6805102920025816E-4</v>
      </c>
      <c r="S707">
        <v>7.1368629343326884E-2</v>
      </c>
      <c r="T707">
        <v>0.82320321242298589</v>
      </c>
      <c r="U707">
        <v>0</v>
      </c>
      <c r="V707">
        <v>9.2228446274089756E-2</v>
      </c>
      <c r="W707">
        <v>4.938544112635504E-2</v>
      </c>
      <c r="X707">
        <v>7.5059507472780475E-3</v>
      </c>
      <c r="Y707">
        <v>2.090381713529372E-3</v>
      </c>
    </row>
    <row r="708" spans="1:25" x14ac:dyDescent="0.25">
      <c r="A708" s="1096"/>
      <c r="B708" s="1455">
        <v>458</v>
      </c>
      <c r="C708" s="1100">
        <v>1.0102111985153253</v>
      </c>
      <c r="D708" s="1100">
        <v>1.0217069202178359</v>
      </c>
      <c r="E708" s="1100">
        <v>0.96127021381375555</v>
      </c>
      <c r="F708" s="1100">
        <v>0.97279105043077363</v>
      </c>
      <c r="G708" s="1100">
        <v>0.99658318849717731</v>
      </c>
      <c r="H708" s="1100">
        <v>0.97148960715073973</v>
      </c>
      <c r="I708" s="1100">
        <v>0.99728661670170404</v>
      </c>
      <c r="K708">
        <v>1.1144805060650393</v>
      </c>
      <c r="L708">
        <v>0</v>
      </c>
      <c r="M708">
        <v>8.2715461946438157E-4</v>
      </c>
      <c r="N708">
        <v>6.7695392541285218E-2</v>
      </c>
      <c r="O708">
        <v>1.0144625856270217E-2</v>
      </c>
      <c r="P708">
        <v>1.2831355158859512E-2</v>
      </c>
      <c r="Q708">
        <v>4.2351358050540637E-4</v>
      </c>
      <c r="R708">
        <v>8.2526891287587384E-4</v>
      </c>
      <c r="S708">
        <v>6.9966260322844392E-2</v>
      </c>
      <c r="T708">
        <v>0.80763204931094434</v>
      </c>
      <c r="U708">
        <v>0</v>
      </c>
      <c r="V708">
        <v>9.1693969044770549E-2</v>
      </c>
      <c r="W708">
        <v>4.5523046402715588E-2</v>
      </c>
      <c r="X708">
        <v>6.3260696224086517E-3</v>
      </c>
      <c r="Y708">
        <v>2.2461099310241133E-3</v>
      </c>
    </row>
    <row r="709" spans="1:25" x14ac:dyDescent="0.25">
      <c r="A709" s="1096"/>
      <c r="B709" s="1455">
        <v>459</v>
      </c>
      <c r="C709" s="1100">
        <v>1.007914103128096</v>
      </c>
      <c r="D709" s="1100">
        <v>0.99202128292456415</v>
      </c>
      <c r="E709" s="1100">
        <v>1.0275881428177955</v>
      </c>
      <c r="F709" s="1100">
        <v>0.99987439036970271</v>
      </c>
      <c r="G709" s="1100">
        <v>0.98819729892154795</v>
      </c>
      <c r="H709" s="1100">
        <v>1.0187752300901041</v>
      </c>
      <c r="I709" s="1100">
        <v>0.95881435324879472</v>
      </c>
      <c r="K709">
        <v>1.1479436103096339</v>
      </c>
      <c r="L709">
        <v>0</v>
      </c>
      <c r="M709">
        <v>7.6674079017088729E-4</v>
      </c>
      <c r="N709">
        <v>7.6686407909698287E-2</v>
      </c>
      <c r="O709">
        <v>1.0309960004257124E-2</v>
      </c>
      <c r="P709">
        <v>1.3739403767373339E-2</v>
      </c>
      <c r="Q709">
        <v>4.6018330882269628E-4</v>
      </c>
      <c r="R709">
        <v>7.6507394305190481E-4</v>
      </c>
      <c r="S709">
        <v>7.0361951400528047E-2</v>
      </c>
      <c r="T709">
        <v>0.82571527554974167</v>
      </c>
      <c r="U709">
        <v>0</v>
      </c>
      <c r="V709">
        <v>9.1401013217313143E-2</v>
      </c>
      <c r="W709">
        <v>4.9567224323859897E-2</v>
      </c>
      <c r="X709">
        <v>7.6215786087268636E-3</v>
      </c>
      <c r="Y709">
        <v>2.08227906642974E-3</v>
      </c>
    </row>
    <row r="710" spans="1:25" x14ac:dyDescent="0.25">
      <c r="A710" s="1096"/>
      <c r="B710" s="1455">
        <v>460</v>
      </c>
      <c r="C710" s="1100">
        <v>1.0241258161337112</v>
      </c>
      <c r="D710" s="1100">
        <v>0.97474299902539063</v>
      </c>
      <c r="E710" s="1100">
        <v>0.96446462172000436</v>
      </c>
      <c r="F710" s="1100">
        <v>0.96750016877949196</v>
      </c>
      <c r="G710" s="1100">
        <v>0.99742333225237401</v>
      </c>
      <c r="H710" s="1100">
        <v>0.96446694051058146</v>
      </c>
      <c r="I710" s="1100">
        <v>1.0266036477582214</v>
      </c>
      <c r="K710">
        <v>1.1122281756051495</v>
      </c>
      <c r="L710">
        <v>0</v>
      </c>
      <c r="M710">
        <v>8.1998989678683633E-4</v>
      </c>
      <c r="N710">
        <v>6.7760487761415425E-2</v>
      </c>
      <c r="O710">
        <v>1.0197953823822378E-2</v>
      </c>
      <c r="P710">
        <v>1.2831762808189874E-2</v>
      </c>
      <c r="Q710">
        <v>4.271377422951641E-4</v>
      </c>
      <c r="R710">
        <v>8.1810691233672979E-4</v>
      </c>
      <c r="S710">
        <v>7.2502514245496363E-2</v>
      </c>
      <c r="T710">
        <v>0.80303112257181519</v>
      </c>
      <c r="U710">
        <v>0</v>
      </c>
      <c r="V710">
        <v>9.1397157260437609E-2</v>
      </c>
      <c r="W710">
        <v>4.5477812262020412E-2</v>
      </c>
      <c r="X710">
        <v>6.3774927875964171E-3</v>
      </c>
      <c r="Y710">
        <v>2.2266173265094078E-3</v>
      </c>
    </row>
    <row r="711" spans="1:25" x14ac:dyDescent="0.25">
      <c r="A711" s="1096"/>
      <c r="B711" s="1455">
        <v>461</v>
      </c>
      <c r="C711" s="1100">
        <v>0.97424124441897464</v>
      </c>
      <c r="D711" s="1100">
        <v>0.99535109928930776</v>
      </c>
      <c r="E711" s="1100">
        <v>0.99086021548846404</v>
      </c>
      <c r="F711" s="1100">
        <v>0.99446851452587326</v>
      </c>
      <c r="G711" s="1100">
        <v>1.0361850041420386</v>
      </c>
      <c r="H711" s="1100">
        <v>1.0339793442750911</v>
      </c>
      <c r="I711" s="1100">
        <v>1.0106290130982127</v>
      </c>
      <c r="K711">
        <v>1.1581417822408471</v>
      </c>
      <c r="L711">
        <v>0</v>
      </c>
      <c r="M711">
        <v>8.6774151270839006E-4</v>
      </c>
      <c r="N711">
        <v>7.7681231764772055E-2</v>
      </c>
      <c r="O711">
        <v>1.063963809549128E-2</v>
      </c>
      <c r="P711">
        <v>1.3474623944113761E-2</v>
      </c>
      <c r="Q711">
        <v>4.5777126095287004E-4</v>
      </c>
      <c r="R711">
        <v>8.658828350037685E-4</v>
      </c>
      <c r="S711">
        <v>7.7193430407784355E-2</v>
      </c>
      <c r="T711">
        <v>0.82365819574789878</v>
      </c>
      <c r="U711">
        <v>0</v>
      </c>
      <c r="V711">
        <v>9.4296737330939434E-2</v>
      </c>
      <c r="W711">
        <v>5.1310263027893543E-2</v>
      </c>
      <c r="X711">
        <v>7.0751017000250105E-3</v>
      </c>
      <c r="Y711">
        <v>2.3566476386804123E-3</v>
      </c>
    </row>
    <row r="712" spans="1:25" x14ac:dyDescent="0.25">
      <c r="A712" s="1096"/>
      <c r="B712" s="1455">
        <v>462</v>
      </c>
      <c r="C712" s="1100">
        <v>1.0309320168583005</v>
      </c>
      <c r="D712" s="1100">
        <v>1.0065832041589164</v>
      </c>
      <c r="E712" s="1100">
        <v>0.95866247782678904</v>
      </c>
      <c r="F712" s="1100">
        <v>0.98486301007437049</v>
      </c>
      <c r="G712" s="1100">
        <v>1.0058227253441236</v>
      </c>
      <c r="H712" s="1100">
        <v>1.0073449187580759</v>
      </c>
      <c r="I712" s="1100">
        <v>0.97891252252153049</v>
      </c>
      <c r="K712">
        <v>1.1260841406304596</v>
      </c>
      <c r="L712">
        <v>0</v>
      </c>
      <c r="M712">
        <v>8.5002908611479366E-4</v>
      </c>
      <c r="N712">
        <v>6.9025541769461185E-2</v>
      </c>
      <c r="O712">
        <v>9.9993834438030036E-3</v>
      </c>
      <c r="P712">
        <v>1.2928616022601638E-2</v>
      </c>
      <c r="Q712">
        <v>4.1633267331913157E-4</v>
      </c>
      <c r="R712">
        <v>8.4816020719951128E-4</v>
      </c>
      <c r="S712">
        <v>6.9193209946440667E-2</v>
      </c>
      <c r="T712">
        <v>0.81782780546205436</v>
      </c>
      <c r="U712">
        <v>0</v>
      </c>
      <c r="V712">
        <v>9.1596188577219365E-2</v>
      </c>
      <c r="W712">
        <v>4.6491851639572625E-2</v>
      </c>
      <c r="X712">
        <v>6.2986674868408567E-3</v>
      </c>
      <c r="Y712">
        <v>2.3084124880599086E-3</v>
      </c>
    </row>
    <row r="713" spans="1:25" x14ac:dyDescent="0.25">
      <c r="A713" s="1096"/>
      <c r="B713" s="1455">
        <v>463</v>
      </c>
      <c r="C713" s="1100">
        <v>0.97763548641616271</v>
      </c>
      <c r="D713" s="1100">
        <v>0.97975981347167473</v>
      </c>
      <c r="E713" s="1100">
        <v>0.96562644798884467</v>
      </c>
      <c r="F713" s="1100">
        <v>1.0272375535461467</v>
      </c>
      <c r="G713" s="1100">
        <v>1.0006540550388416</v>
      </c>
      <c r="H713" s="1100">
        <v>1.0264026930389167</v>
      </c>
      <c r="I713" s="1100">
        <v>1.0187762479325415</v>
      </c>
      <c r="K713">
        <v>1.1830565121542322</v>
      </c>
      <c r="L713">
        <v>0</v>
      </c>
      <c r="M713">
        <v>9.1008647244278503E-4</v>
      </c>
      <c r="N713">
        <v>7.5481295865453477E-2</v>
      </c>
      <c r="O713">
        <v>1.0661381456673894E-2</v>
      </c>
      <c r="P713">
        <v>1.3588466004208488E-2</v>
      </c>
      <c r="Q713">
        <v>4.4708029769651792E-4</v>
      </c>
      <c r="R713">
        <v>9.0812270319819599E-4</v>
      </c>
      <c r="S713">
        <v>7.7819017953216968E-2</v>
      </c>
      <c r="T713">
        <v>0.85253315857958312</v>
      </c>
      <c r="U713">
        <v>0</v>
      </c>
      <c r="V713">
        <v>9.2685609076467459E-2</v>
      </c>
      <c r="W713">
        <v>5.0623722426176757E-2</v>
      </c>
      <c r="X713">
        <v>6.7471336284620834E-3</v>
      </c>
      <c r="Y713">
        <v>2.4716106355368362E-3</v>
      </c>
    </row>
    <row r="714" spans="1:25" x14ac:dyDescent="0.25">
      <c r="A714" s="1096"/>
      <c r="B714" s="1455">
        <v>464</v>
      </c>
      <c r="C714" s="1100">
        <v>0.97377455815457714</v>
      </c>
      <c r="D714" s="1100">
        <v>0.96871771602110324</v>
      </c>
      <c r="E714" s="1100">
        <v>0.99448124858867404</v>
      </c>
      <c r="F714" s="1100">
        <v>0.9951521452671731</v>
      </c>
      <c r="G714" s="1100">
        <v>1.0243908897444085</v>
      </c>
      <c r="H714" s="1100">
        <v>1.0275944913542012</v>
      </c>
      <c r="I714" s="1100">
        <v>0.98731355733558968</v>
      </c>
      <c r="K714">
        <v>1.1582542929774076</v>
      </c>
      <c r="L714">
        <v>0</v>
      </c>
      <c r="M714">
        <v>8.6568855365935684E-4</v>
      </c>
      <c r="N714">
        <v>7.8349335599505215E-2</v>
      </c>
      <c r="O714">
        <v>1.0762080962340726E-2</v>
      </c>
      <c r="P714">
        <v>1.3496165281358509E-2</v>
      </c>
      <c r="Q714">
        <v>4.6473469339559188E-4</v>
      </c>
      <c r="R714">
        <v>8.6382275195426945E-4</v>
      </c>
      <c r="S714">
        <v>7.6240880458431998E-2</v>
      </c>
      <c r="T714">
        <v>0.82398498315065682</v>
      </c>
      <c r="U714">
        <v>0</v>
      </c>
      <c r="V714">
        <v>9.3805121231413907E-2</v>
      </c>
      <c r="W714">
        <v>5.1639658671973725E-2</v>
      </c>
      <c r="X714">
        <v>7.1621579583104871E-3</v>
      </c>
      <c r="Y714">
        <v>2.3510407717258707E-3</v>
      </c>
    </row>
    <row r="715" spans="1:25" x14ac:dyDescent="0.25">
      <c r="A715" s="1096"/>
      <c r="B715" s="1455">
        <v>465</v>
      </c>
      <c r="C715" s="1100">
        <v>0.97375728467211697</v>
      </c>
      <c r="D715" s="1100">
        <v>1.0106881788918427</v>
      </c>
      <c r="E715" s="1100">
        <v>0.99367773035205009</v>
      </c>
      <c r="F715" s="1100">
        <v>1.014490810302225</v>
      </c>
      <c r="G715" s="1100">
        <v>1.0029620530102921</v>
      </c>
      <c r="H715" s="1100">
        <v>0.99039407946917069</v>
      </c>
      <c r="I715" s="1100">
        <v>1.036153644442424</v>
      </c>
      <c r="K715">
        <v>1.1668585221625472</v>
      </c>
      <c r="L715">
        <v>0</v>
      </c>
      <c r="M715">
        <v>8.21695406608411E-4</v>
      </c>
      <c r="N715">
        <v>7.4181312599502752E-2</v>
      </c>
      <c r="O715">
        <v>1.0580957093780964E-2</v>
      </c>
      <c r="P715">
        <v>1.3699667090011408E-2</v>
      </c>
      <c r="Q715">
        <v>4.565431909851814E-4</v>
      </c>
      <c r="R715">
        <v>8.1985790214955819E-4</v>
      </c>
      <c r="S715">
        <v>7.6690833994959004E-2</v>
      </c>
      <c r="T715">
        <v>0.84005150237601833</v>
      </c>
      <c r="U715">
        <v>0</v>
      </c>
      <c r="V715">
        <v>9.2889220331276098E-2</v>
      </c>
      <c r="W715">
        <v>4.8915999937984823E-2</v>
      </c>
      <c r="X715">
        <v>7.1629401089214288E-3</v>
      </c>
      <c r="Y715">
        <v>2.2313829435662894E-3</v>
      </c>
    </row>
    <row r="716" spans="1:25" x14ac:dyDescent="0.25">
      <c r="A716" s="1096"/>
      <c r="B716" s="1455">
        <v>466</v>
      </c>
      <c r="C716" s="1100">
        <v>1.0015296318153029</v>
      </c>
      <c r="D716" s="1100">
        <v>0.98883682984667509</v>
      </c>
      <c r="E716" s="1100">
        <v>1.0112503552901329</v>
      </c>
      <c r="F716" s="1100">
        <v>0.96002260621543933</v>
      </c>
      <c r="G716" s="1100">
        <v>0.99974169810449964</v>
      </c>
      <c r="H716" s="1100">
        <v>0.99687288194442469</v>
      </c>
      <c r="I716" s="1100">
        <v>0.9841891232291724</v>
      </c>
      <c r="K716">
        <v>1.1141571435456741</v>
      </c>
      <c r="L716">
        <v>0</v>
      </c>
      <c r="M716">
        <v>7.8215003191777768E-4</v>
      </c>
      <c r="N716">
        <v>7.4461686823444992E-2</v>
      </c>
      <c r="O716">
        <v>1.0383656660559602E-2</v>
      </c>
      <c r="P716">
        <v>1.3167537740062055E-2</v>
      </c>
      <c r="Q716">
        <v>4.5600336793514103E-4</v>
      </c>
      <c r="R716">
        <v>7.8041232766794559E-4</v>
      </c>
      <c r="S716">
        <v>7.1905352054359842E-2</v>
      </c>
      <c r="T716">
        <v>0.79383344275367929</v>
      </c>
      <c r="U716">
        <v>0</v>
      </c>
      <c r="V716">
        <v>9.2048500610464989E-2</v>
      </c>
      <c r="W716">
        <v>4.8591711820740548E-2</v>
      </c>
      <c r="X716">
        <v>7.1869643256204374E-3</v>
      </c>
      <c r="Y716">
        <v>2.1240250930574731E-3</v>
      </c>
    </row>
    <row r="717" spans="1:25" x14ac:dyDescent="0.25">
      <c r="A717" s="1096"/>
      <c r="B717" s="1455">
        <v>467</v>
      </c>
      <c r="C717" s="1100">
        <v>0.99832061672189309</v>
      </c>
      <c r="D717" s="1100">
        <v>1.0229673672784085</v>
      </c>
      <c r="E717" s="1100">
        <v>1.0110713987443343</v>
      </c>
      <c r="F717" s="1100">
        <v>1.0029569934023681</v>
      </c>
      <c r="G717" s="1100">
        <v>0.99595750694191498</v>
      </c>
      <c r="H717" s="1100">
        <v>1.0016284377335594</v>
      </c>
      <c r="I717" s="1100">
        <v>0.96526166878248743</v>
      </c>
      <c r="K717">
        <v>1.1471572599516311</v>
      </c>
      <c r="L717">
        <v>0</v>
      </c>
      <c r="M717">
        <v>7.7806759520574202E-4</v>
      </c>
      <c r="N717">
        <v>7.4033811086468559E-2</v>
      </c>
      <c r="O717">
        <v>1.0276536352811182E-2</v>
      </c>
      <c r="P717">
        <v>1.3622579800877376E-2</v>
      </c>
      <c r="Q717">
        <v>4.5121845231284584E-4</v>
      </c>
      <c r="R717">
        <v>7.7634716816532394E-4</v>
      </c>
      <c r="S717">
        <v>6.9712565457332273E-2</v>
      </c>
      <c r="T717">
        <v>0.82934729172867072</v>
      </c>
      <c r="U717">
        <v>0</v>
      </c>
      <c r="V717">
        <v>9.1966267845164901E-2</v>
      </c>
      <c r="W717">
        <v>4.8317585372556808E-2</v>
      </c>
      <c r="X717">
        <v>7.3181632135052681E-3</v>
      </c>
      <c r="Y717">
        <v>2.1129610689708074E-3</v>
      </c>
    </row>
    <row r="718" spans="1:25" x14ac:dyDescent="0.25">
      <c r="A718" s="1096"/>
      <c r="B718" s="1455">
        <v>468</v>
      </c>
      <c r="C718" s="1100">
        <v>1.0045579803139637</v>
      </c>
      <c r="D718" s="1100">
        <v>0.95774555444414655</v>
      </c>
      <c r="E718" s="1100">
        <v>1.0157472864502939</v>
      </c>
      <c r="F718" s="1100">
        <v>1.0183384976171368</v>
      </c>
      <c r="G718" s="1100">
        <v>0.99320056173196192</v>
      </c>
      <c r="H718" s="1100">
        <v>1.0137932108523211</v>
      </c>
      <c r="I718" s="1100">
        <v>0.98107249032981148</v>
      </c>
      <c r="K718">
        <v>1.1680959943072047</v>
      </c>
      <c r="L718">
        <v>0</v>
      </c>
      <c r="M718">
        <v>7.957538280953699E-4</v>
      </c>
      <c r="N718">
        <v>7.679487631589263E-2</v>
      </c>
      <c r="O718">
        <v>1.0486988128145603E-2</v>
      </c>
      <c r="P718">
        <v>1.3887022765524044E-2</v>
      </c>
      <c r="Q718">
        <v>4.6261214474489011E-4</v>
      </c>
      <c r="R718">
        <v>7.9401540719019879E-4</v>
      </c>
      <c r="S718">
        <v>7.3334779966510499E-2</v>
      </c>
      <c r="T718">
        <v>0.84175311642569051</v>
      </c>
      <c r="U718">
        <v>0</v>
      </c>
      <c r="V718">
        <v>9.1695013938884892E-2</v>
      </c>
      <c r="W718">
        <v>4.9981940062116634E-2</v>
      </c>
      <c r="X718">
        <v>7.5403347893356386E-3</v>
      </c>
      <c r="Y718">
        <v>2.161048191263087E-3</v>
      </c>
    </row>
    <row r="719" spans="1:25" x14ac:dyDescent="0.25">
      <c r="A719" s="1096"/>
      <c r="B719" s="1455">
        <v>469</v>
      </c>
      <c r="C719" s="1100">
        <v>0.98351605010682275</v>
      </c>
      <c r="D719" s="1100">
        <v>0.9806135146265953</v>
      </c>
      <c r="E719" s="1100">
        <v>1.0036105302925353</v>
      </c>
      <c r="F719" s="1100">
        <v>0.97189826448362548</v>
      </c>
      <c r="G719" s="1100">
        <v>1.0129545455983642</v>
      </c>
      <c r="H719" s="1100">
        <v>0.97121451636086531</v>
      </c>
      <c r="I719" s="1100">
        <v>1.0083495395352022</v>
      </c>
      <c r="K719">
        <v>1.1269353065899728</v>
      </c>
      <c r="L719">
        <v>0</v>
      </c>
      <c r="M719">
        <v>7.9102245620903079E-4</v>
      </c>
      <c r="N719">
        <v>7.35846692607319E-2</v>
      </c>
      <c r="O719">
        <v>1.0606652667017304E-2</v>
      </c>
      <c r="P719">
        <v>1.3280084082321253E-2</v>
      </c>
      <c r="Q719">
        <v>4.6224756274451564E-4</v>
      </c>
      <c r="R719">
        <v>7.8921861117280394E-4</v>
      </c>
      <c r="S719">
        <v>7.425451003954496E-2</v>
      </c>
      <c r="T719">
        <v>0.80414310184672133</v>
      </c>
      <c r="U719">
        <v>0</v>
      </c>
      <c r="V719">
        <v>9.306542341399493E-2</v>
      </c>
      <c r="W719">
        <v>4.823665091135268E-2</v>
      </c>
      <c r="X719">
        <v>7.1557777568129286E-3</v>
      </c>
      <c r="Y719">
        <v>2.1479928937671207E-3</v>
      </c>
    </row>
    <row r="720" spans="1:25" x14ac:dyDescent="0.25">
      <c r="A720" s="1096"/>
      <c r="B720" s="1455">
        <v>470</v>
      </c>
      <c r="C720" s="1100">
        <v>0.98547012483925922</v>
      </c>
      <c r="D720" s="1100">
        <v>1.0207158552321616</v>
      </c>
      <c r="E720" s="1100">
        <v>0.97181350088755969</v>
      </c>
      <c r="F720" s="1100">
        <v>1.0219124570551295</v>
      </c>
      <c r="G720" s="1100">
        <v>1.007762109787977</v>
      </c>
      <c r="H720" s="1100">
        <v>1.0012004763561619</v>
      </c>
      <c r="I720" s="1100">
        <v>1.0175298693100041</v>
      </c>
      <c r="K720">
        <v>1.1689994770912433</v>
      </c>
      <c r="L720">
        <v>0</v>
      </c>
      <c r="M720">
        <v>8.5538032875803977E-4</v>
      </c>
      <c r="N720">
        <v>7.2281809386258528E-2</v>
      </c>
      <c r="O720">
        <v>1.0406807209452234E-2</v>
      </c>
      <c r="P720">
        <v>1.3545147786758241E-2</v>
      </c>
      <c r="Q720">
        <v>4.3917523814446778E-4</v>
      </c>
      <c r="R720">
        <v>8.5348814291500374E-4</v>
      </c>
      <c r="S720">
        <v>7.4464930905520726E-2</v>
      </c>
      <c r="T720">
        <v>0.84768872662349404</v>
      </c>
      <c r="U720">
        <v>0</v>
      </c>
      <c r="V720">
        <v>9.2789011861097323E-2</v>
      </c>
      <c r="W720">
        <v>4.8295501394597255E-2</v>
      </c>
      <c r="X720">
        <v>6.7673454990401427E-3</v>
      </c>
      <c r="Y720">
        <v>2.3229133727239427E-3</v>
      </c>
    </row>
    <row r="721" spans="1:25" x14ac:dyDescent="0.25">
      <c r="A721" s="1096"/>
      <c r="B721" s="1455">
        <v>471</v>
      </c>
      <c r="C721" s="1100">
        <v>0.99478439598747248</v>
      </c>
      <c r="D721" s="1100">
        <v>1.036488901814709</v>
      </c>
      <c r="E721" s="1100">
        <v>1.0136881681861833</v>
      </c>
      <c r="F721" s="1100">
        <v>0.99378097272159738</v>
      </c>
      <c r="G721" s="1100">
        <v>0.99884035350006783</v>
      </c>
      <c r="H721" s="1100">
        <v>1.0220828258743013</v>
      </c>
      <c r="I721" s="1100">
        <v>1.0143833472563994</v>
      </c>
      <c r="K721">
        <v>1.1463193333297814</v>
      </c>
      <c r="L721">
        <v>0</v>
      </c>
      <c r="M721">
        <v>7.8830605455384724E-4</v>
      </c>
      <c r="N721">
        <v>7.560616972527423E-2</v>
      </c>
      <c r="O721">
        <v>1.0259889494524499E-2</v>
      </c>
      <c r="P721">
        <v>1.3602293039114975E-2</v>
      </c>
      <c r="Q721">
        <v>4.5166591658717543E-4</v>
      </c>
      <c r="R721">
        <v>7.8659787173571605E-4</v>
      </c>
      <c r="S721">
        <v>7.3867300736386976E-2</v>
      </c>
      <c r="T721">
        <v>0.82158849841443593</v>
      </c>
      <c r="U721">
        <v>0</v>
      </c>
      <c r="V721">
        <v>9.217818351223428E-2</v>
      </c>
      <c r="W721">
        <v>4.9267834227951189E-2</v>
      </c>
      <c r="X721">
        <v>7.3583463411443627E-3</v>
      </c>
      <c r="Y721">
        <v>2.1408601049458897E-3</v>
      </c>
    </row>
    <row r="722" spans="1:25" x14ac:dyDescent="0.25">
      <c r="A722" s="1096"/>
      <c r="B722" s="1455">
        <v>472</v>
      </c>
      <c r="C722" s="1100">
        <v>0.98507890213178773</v>
      </c>
      <c r="D722" s="1100">
        <v>0.96880327975163782</v>
      </c>
      <c r="E722" s="1100">
        <v>1.0322059587706707</v>
      </c>
      <c r="F722" s="1100">
        <v>0.98402014784044944</v>
      </c>
      <c r="G722" s="1100">
        <v>1.0026576707061856</v>
      </c>
      <c r="H722" s="1100">
        <v>0.99450936627762065</v>
      </c>
      <c r="I722" s="1100">
        <v>1.0058979700872868</v>
      </c>
      <c r="K722">
        <v>1.142700032296966</v>
      </c>
      <c r="L722">
        <v>0</v>
      </c>
      <c r="M722">
        <v>7.6571435523902539E-4</v>
      </c>
      <c r="N722">
        <v>7.765318554408418E-2</v>
      </c>
      <c r="O722">
        <v>1.0650924122403834E-2</v>
      </c>
      <c r="P722">
        <v>1.3686240446328088E-2</v>
      </c>
      <c r="Q722">
        <v>4.7757777129378798E-4</v>
      </c>
      <c r="R722">
        <v>7.6400912317850977E-4</v>
      </c>
      <c r="S722">
        <v>7.5435207212024735E-2</v>
      </c>
      <c r="T722">
        <v>0.8123261077504309</v>
      </c>
      <c r="U722">
        <v>0</v>
      </c>
      <c r="V722">
        <v>9.2590043549570358E-2</v>
      </c>
      <c r="W722">
        <v>5.0057740984486773E-2</v>
      </c>
      <c r="X722">
        <v>7.7453291706521925E-3</v>
      </c>
      <c r="Y722">
        <v>2.0793809777521349E-3</v>
      </c>
    </row>
    <row r="723" spans="1:25" x14ac:dyDescent="0.25">
      <c r="A723" s="1096"/>
      <c r="B723" s="1455">
        <v>473</v>
      </c>
      <c r="C723" s="1100">
        <v>0.99543970958326078</v>
      </c>
      <c r="D723" s="1100">
        <v>1.0038895474677667</v>
      </c>
      <c r="E723" s="1100">
        <v>0.99545845253107434</v>
      </c>
      <c r="F723" s="1100">
        <v>0.98516981066552345</v>
      </c>
      <c r="G723" s="1100">
        <v>1.0128726726348785</v>
      </c>
      <c r="H723" s="1100">
        <v>0.99605630928659006</v>
      </c>
      <c r="I723" s="1100">
        <v>1.0131263220364211</v>
      </c>
      <c r="K723">
        <v>1.1372333444626281</v>
      </c>
      <c r="L723">
        <v>0</v>
      </c>
      <c r="M723">
        <v>8.0759226414875928E-4</v>
      </c>
      <c r="N723">
        <v>7.330249398374479E-2</v>
      </c>
      <c r="O723">
        <v>1.0379051194546874E-2</v>
      </c>
      <c r="P723">
        <v>1.334608876061872E-2</v>
      </c>
      <c r="Q723">
        <v>4.4863616162864041E-4</v>
      </c>
      <c r="R723">
        <v>8.0579656392256338E-4</v>
      </c>
      <c r="S723">
        <v>7.3844111926130052E-2</v>
      </c>
      <c r="T723">
        <v>0.81565572714236045</v>
      </c>
      <c r="U723">
        <v>0</v>
      </c>
      <c r="V723">
        <v>9.2758912330957954E-2</v>
      </c>
      <c r="W723">
        <v>4.828514668067542E-2</v>
      </c>
      <c r="X723">
        <v>7.0218593659588553E-3</v>
      </c>
      <c r="Y723">
        <v>2.1931126162313091E-3</v>
      </c>
    </row>
    <row r="724" spans="1:25" x14ac:dyDescent="0.25">
      <c r="A724" s="1096"/>
      <c r="B724" s="1455">
        <v>474</v>
      </c>
      <c r="C724" s="1100">
        <v>1.010293330052541</v>
      </c>
      <c r="D724" s="1100">
        <v>0.97881015482128841</v>
      </c>
      <c r="E724" s="1100">
        <v>1.0181022083498359</v>
      </c>
      <c r="F724" s="1100">
        <v>0.99858092390318343</v>
      </c>
      <c r="G724" s="1100">
        <v>0.96645817865527184</v>
      </c>
      <c r="H724" s="1100">
        <v>0.99050227690455128</v>
      </c>
      <c r="I724" s="1100">
        <v>0.99589523196306151</v>
      </c>
      <c r="K724">
        <v>1.1441808120432226</v>
      </c>
      <c r="L724">
        <v>0</v>
      </c>
      <c r="M724">
        <v>7.6261626422344697E-4</v>
      </c>
      <c r="N724">
        <v>7.4117926811571672E-2</v>
      </c>
      <c r="O724">
        <v>1.0337877482280674E-2</v>
      </c>
      <c r="P724">
        <v>1.3650727808119864E-2</v>
      </c>
      <c r="Q724">
        <v>4.5710513309353502E-4</v>
      </c>
      <c r="R724">
        <v>7.6091106092966427E-4</v>
      </c>
      <c r="S724">
        <v>7.2258541078814478E-2</v>
      </c>
      <c r="T724">
        <v>0.8252672162846556</v>
      </c>
      <c r="U724">
        <v>0</v>
      </c>
      <c r="V724">
        <v>9.0412296350168453E-2</v>
      </c>
      <c r="W724">
        <v>4.8173070298269831E-2</v>
      </c>
      <c r="X724">
        <v>7.4368069259545463E-3</v>
      </c>
      <c r="Y724">
        <v>2.0709490735867238E-3</v>
      </c>
    </row>
    <row r="725" spans="1:25" x14ac:dyDescent="0.25">
      <c r="A725" s="1096"/>
      <c r="B725" s="1455">
        <v>475</v>
      </c>
      <c r="C725" s="1100">
        <v>0.95935736509191361</v>
      </c>
      <c r="D725" s="1100">
        <v>1.0445539889561104</v>
      </c>
      <c r="E725" s="1100">
        <v>0.9884944903670031</v>
      </c>
      <c r="F725" s="1100">
        <v>1.0344444776572121</v>
      </c>
      <c r="G725" s="1100">
        <v>1.0163546494341003</v>
      </c>
      <c r="H725" s="1100">
        <v>0.98813740317761101</v>
      </c>
      <c r="I725" s="1100">
        <v>1.0346476145073229</v>
      </c>
      <c r="K725">
        <v>1.1840099446128489</v>
      </c>
      <c r="L725">
        <v>0</v>
      </c>
      <c r="M725">
        <v>8.3009512031875028E-4</v>
      </c>
      <c r="N725">
        <v>7.377410035440389E-2</v>
      </c>
      <c r="O725">
        <v>1.0597383882163072E-2</v>
      </c>
      <c r="P725">
        <v>1.3882315999175868E-2</v>
      </c>
      <c r="Q725">
        <v>4.5486410529492596E-4</v>
      </c>
      <c r="R725">
        <v>8.2823459279066038E-4</v>
      </c>
      <c r="S725">
        <v>7.6321434200412833E-2</v>
      </c>
      <c r="T725">
        <v>0.85693070604031685</v>
      </c>
      <c r="U725">
        <v>0</v>
      </c>
      <c r="V725">
        <v>9.3843059150111319E-2</v>
      </c>
      <c r="W725">
        <v>4.8798638458431513E-2</v>
      </c>
      <c r="X725">
        <v>7.1551214159493942E-3</v>
      </c>
      <c r="Y725">
        <v>2.2541815341160418E-3</v>
      </c>
    </row>
    <row r="726" spans="1:25" x14ac:dyDescent="0.25">
      <c r="A726" s="1096"/>
      <c r="B726" s="1455">
        <v>476</v>
      </c>
      <c r="C726" s="1100">
        <v>0.98387327830611304</v>
      </c>
      <c r="D726" s="1100">
        <v>1.0213418698658776</v>
      </c>
      <c r="E726" s="1100">
        <v>1.0307394510095389</v>
      </c>
      <c r="F726" s="1100">
        <v>0.98323911789661045</v>
      </c>
      <c r="G726" s="1100">
        <v>1.0093073960777337</v>
      </c>
      <c r="H726" s="1100">
        <v>1.007787730474794</v>
      </c>
      <c r="I726" s="1100">
        <v>1.0298158073356516</v>
      </c>
      <c r="K726">
        <v>1.1415564267312404</v>
      </c>
      <c r="L726">
        <v>0</v>
      </c>
      <c r="M726">
        <v>7.6297807437467654E-4</v>
      </c>
      <c r="N726">
        <v>7.7036679219662119E-2</v>
      </c>
      <c r="O726">
        <v>1.0440582065152108E-2</v>
      </c>
      <c r="P726">
        <v>1.3673653342813735E-2</v>
      </c>
      <c r="Q726">
        <v>4.6746848532500324E-4</v>
      </c>
      <c r="R726">
        <v>7.613013233936796E-4</v>
      </c>
      <c r="S726">
        <v>7.5812668220999288E-2</v>
      </c>
      <c r="T726">
        <v>0.81177534529533824</v>
      </c>
      <c r="U726">
        <v>0</v>
      </c>
      <c r="V726">
        <v>9.290479286820498E-2</v>
      </c>
      <c r="W726">
        <v>4.9702564766907341E-2</v>
      </c>
      <c r="X726">
        <v>7.6723379784553077E-3</v>
      </c>
      <c r="Y726">
        <v>2.0720112393637869E-3</v>
      </c>
    </row>
    <row r="727" spans="1:25" x14ac:dyDescent="0.25">
      <c r="A727" s="1096"/>
      <c r="B727" s="1455">
        <v>477</v>
      </c>
      <c r="C727" s="1100">
        <v>0.99255991707618274</v>
      </c>
      <c r="D727" s="1100">
        <v>1.0193702269027622</v>
      </c>
      <c r="E727" s="1100">
        <v>0.99730822189335488</v>
      </c>
      <c r="F727" s="1100">
        <v>1.0439999391187422</v>
      </c>
      <c r="G727" s="1100">
        <v>0.96009078688803873</v>
      </c>
      <c r="H727" s="1100">
        <v>0.9624396340184791</v>
      </c>
      <c r="I727" s="1100">
        <v>0.97011281816437156</v>
      </c>
      <c r="K727">
        <v>1.1751498048832194</v>
      </c>
      <c r="L727">
        <v>0</v>
      </c>
      <c r="M727">
        <v>7.7484732282813765E-4</v>
      </c>
      <c r="N727">
        <v>7.0719088413688472E-2</v>
      </c>
      <c r="O727">
        <v>1.0346247712392127E-2</v>
      </c>
      <c r="P727">
        <v>1.3930211678980507E-2</v>
      </c>
      <c r="Q727">
        <v>4.4805220455548513E-4</v>
      </c>
      <c r="R727">
        <v>7.7306425355752996E-4</v>
      </c>
      <c r="S727">
        <v>6.9034957697710619E-2</v>
      </c>
      <c r="T727">
        <v>0.8642351212770909</v>
      </c>
      <c r="U727">
        <v>0</v>
      </c>
      <c r="V727">
        <v>9.0574713038723775E-2</v>
      </c>
      <c r="W727">
        <v>4.6532097359455724E-2</v>
      </c>
      <c r="X727">
        <v>7.227072512269582E-3</v>
      </c>
      <c r="Y727">
        <v>2.1040260576209013E-3</v>
      </c>
    </row>
    <row r="728" spans="1:25" x14ac:dyDescent="0.25">
      <c r="A728" s="1096"/>
      <c r="B728" s="1455">
        <v>478</v>
      </c>
      <c r="C728" s="1100">
        <v>1.0179675035985973</v>
      </c>
      <c r="D728" s="1100">
        <v>1.0108659863052774</v>
      </c>
      <c r="E728" s="1100">
        <v>1.0117367400162385</v>
      </c>
      <c r="F728" s="1100">
        <v>0.98014095082002584</v>
      </c>
      <c r="G728" s="1100">
        <v>0.99445164869514713</v>
      </c>
      <c r="H728" s="1100">
        <v>1.0396900211433453</v>
      </c>
      <c r="I728" s="1100">
        <v>1.0027728536717653</v>
      </c>
      <c r="K728">
        <v>1.1334263577742796</v>
      </c>
      <c r="L728">
        <v>0</v>
      </c>
      <c r="M728">
        <v>7.9472619767299553E-4</v>
      </c>
      <c r="N728">
        <v>7.5777068605620362E-2</v>
      </c>
      <c r="O728">
        <v>1.0126498860439767E-2</v>
      </c>
      <c r="P728">
        <v>1.3406747461646731E-2</v>
      </c>
      <c r="Q728">
        <v>4.4492625363795705E-4</v>
      </c>
      <c r="R728">
        <v>7.9303326677393168E-4</v>
      </c>
      <c r="S728">
        <v>7.2978502074152851E-2</v>
      </c>
      <c r="T728">
        <v>0.8104377240801357</v>
      </c>
      <c r="U728">
        <v>0</v>
      </c>
      <c r="V728">
        <v>9.1422798447703277E-2</v>
      </c>
      <c r="W728">
        <v>4.9435930857594818E-2</v>
      </c>
      <c r="X728">
        <v>7.239478935434274E-3</v>
      </c>
      <c r="Y728">
        <v>2.1583751288125094E-3</v>
      </c>
    </row>
    <row r="729" spans="1:25" x14ac:dyDescent="0.25">
      <c r="A729" s="1096"/>
      <c r="B729" s="1455">
        <v>479</v>
      </c>
      <c r="C729" s="1100">
        <v>1.0013694370929238</v>
      </c>
      <c r="D729" s="1100">
        <v>0.98067429044839038</v>
      </c>
      <c r="E729" s="1100">
        <v>0.98568692104742917</v>
      </c>
      <c r="F729" s="1100">
        <v>0.97817415472385727</v>
      </c>
      <c r="G729" s="1100">
        <v>0.98134654730382176</v>
      </c>
      <c r="H729" s="1100">
        <v>1.0022826852645046</v>
      </c>
      <c r="I729" s="1100">
        <v>1.0211426834798405</v>
      </c>
      <c r="K729">
        <v>1.1319328265990714</v>
      </c>
      <c r="L729">
        <v>0</v>
      </c>
      <c r="M729">
        <v>8.320959150889736E-4</v>
      </c>
      <c r="N729">
        <v>7.332902652176633E-2</v>
      </c>
      <c r="O729">
        <v>1.0411389438856828E-2</v>
      </c>
      <c r="P729">
        <v>1.3175862262571107E-2</v>
      </c>
      <c r="Q729">
        <v>4.4561239338091905E-4</v>
      </c>
      <c r="R729">
        <v>8.302572241325098E-4</v>
      </c>
      <c r="S729">
        <v>7.5130950556415332E-2</v>
      </c>
      <c r="T729">
        <v>0.81049950444780139</v>
      </c>
      <c r="U729">
        <v>0</v>
      </c>
      <c r="V729">
        <v>9.1262059503681256E-2</v>
      </c>
      <c r="W729">
        <v>4.8586076305837028E-2</v>
      </c>
      <c r="X729">
        <v>6.8344973898480333E-3</v>
      </c>
      <c r="Y729">
        <v>2.259686469868313E-3</v>
      </c>
    </row>
    <row r="730" spans="1:25" x14ac:dyDescent="0.25">
      <c r="A730" s="1096"/>
      <c r="B730" s="1455">
        <v>480</v>
      </c>
      <c r="C730" s="1100">
        <v>0.96948733332927695</v>
      </c>
      <c r="D730" s="1100">
        <v>0.99307696297591286</v>
      </c>
      <c r="E730" s="1100">
        <v>1.045910227408742</v>
      </c>
      <c r="F730" s="1100">
        <v>0.97618521597242569</v>
      </c>
      <c r="G730" s="1100">
        <v>0.99851630557315985</v>
      </c>
      <c r="H730" s="1100">
        <v>1.0013377858896537</v>
      </c>
      <c r="I730" s="1100">
        <v>1.0390071969325094</v>
      </c>
      <c r="K730">
        <v>1.141943208725376</v>
      </c>
      <c r="L730">
        <v>0</v>
      </c>
      <c r="M730">
        <v>7.5378915490854534E-4</v>
      </c>
      <c r="N730">
        <v>7.9667076253002331E-2</v>
      </c>
      <c r="O730">
        <v>1.0720285012681074E-2</v>
      </c>
      <c r="P730">
        <v>1.3765116018808143E-2</v>
      </c>
      <c r="Q730">
        <v>4.8721249902612776E-4</v>
      </c>
      <c r="R730">
        <v>7.5212192743626268E-4</v>
      </c>
      <c r="S730">
        <v>7.8486353440809953E-2</v>
      </c>
      <c r="T730">
        <v>0.80498948779548263</v>
      </c>
      <c r="U730">
        <v>0</v>
      </c>
      <c r="V730">
        <v>9.2820539051512455E-2</v>
      </c>
      <c r="W730">
        <v>5.0951909378443502E-2</v>
      </c>
      <c r="X730">
        <v>8.0098685535273818E-3</v>
      </c>
      <c r="Y730">
        <v>2.047027949554762E-3</v>
      </c>
    </row>
    <row r="731" spans="1:25" x14ac:dyDescent="0.25">
      <c r="A731" s="1096"/>
      <c r="B731" s="1455">
        <v>481</v>
      </c>
      <c r="C731" s="1100">
        <v>1.0310249752093568</v>
      </c>
      <c r="D731" s="1100">
        <v>0.98111133317630528</v>
      </c>
      <c r="E731" s="1100">
        <v>0.97298105289204184</v>
      </c>
      <c r="F731" s="1100">
        <v>0.97062569972329227</v>
      </c>
      <c r="G731" s="1100">
        <v>0.98499778425459128</v>
      </c>
      <c r="H731" s="1100">
        <v>0.99924411765129517</v>
      </c>
      <c r="I731" s="1100">
        <v>0.97828575578781785</v>
      </c>
      <c r="K731">
        <v>1.1146636498305662</v>
      </c>
      <c r="L731">
        <v>0</v>
      </c>
      <c r="M731">
        <v>8.2701140903226455E-4</v>
      </c>
      <c r="N731">
        <v>7.0131709732822123E-2</v>
      </c>
      <c r="O731">
        <v>1.0106072091962908E-2</v>
      </c>
      <c r="P731">
        <v>1.2897290058133171E-2</v>
      </c>
      <c r="Q731">
        <v>4.2699254390128193E-4</v>
      </c>
      <c r="R731">
        <v>8.2517839631337251E-4</v>
      </c>
      <c r="S731">
        <v>6.9759011120667236E-2</v>
      </c>
      <c r="T731">
        <v>0.80506970292449742</v>
      </c>
      <c r="U731">
        <v>0</v>
      </c>
      <c r="V731">
        <v>9.0704839155414566E-2</v>
      </c>
      <c r="W731">
        <v>4.6825676757019173E-2</v>
      </c>
      <c r="X731">
        <v>6.4983248840875495E-3</v>
      </c>
      <c r="Y731">
        <v>2.2458635747797627E-3</v>
      </c>
    </row>
    <row r="732" spans="1:25" x14ac:dyDescent="0.25">
      <c r="A732" s="1096"/>
      <c r="B732" s="1455">
        <v>482</v>
      </c>
      <c r="C732" s="1100">
        <v>0.97748082274013592</v>
      </c>
      <c r="D732" s="1100">
        <v>1.0387034317430279</v>
      </c>
      <c r="E732" s="1100">
        <v>0.96308398146511687</v>
      </c>
      <c r="F732" s="1100">
        <v>1.0155045164889818</v>
      </c>
      <c r="G732" s="1100">
        <v>0.98098519704450382</v>
      </c>
      <c r="H732" s="1100">
        <v>0.9577519833625161</v>
      </c>
      <c r="I732" s="1100">
        <v>1.0197551328634886</v>
      </c>
      <c r="K732">
        <v>1.1553546592917379</v>
      </c>
      <c r="L732">
        <v>0</v>
      </c>
      <c r="M732">
        <v>8.3409461059157487E-4</v>
      </c>
      <c r="N732">
        <v>6.8637263718883096E-2</v>
      </c>
      <c r="O732">
        <v>1.0415944592765748E-2</v>
      </c>
      <c r="P732">
        <v>1.3356591187104369E-2</v>
      </c>
      <c r="Q732">
        <v>4.3565087629852332E-4</v>
      </c>
      <c r="R732">
        <v>8.3216580776890954E-4</v>
      </c>
      <c r="S732">
        <v>7.2741526995169573E-2</v>
      </c>
      <c r="T732">
        <v>0.84296949271320276</v>
      </c>
      <c r="U732">
        <v>0</v>
      </c>
      <c r="V732">
        <v>9.1847902809404414E-2</v>
      </c>
      <c r="W732">
        <v>4.6105183180694051E-2</v>
      </c>
      <c r="X732">
        <v>6.5821510156745776E-3</v>
      </c>
      <c r="Y732">
        <v>2.2648810053621671E-3</v>
      </c>
    </row>
    <row r="733" spans="1:25" x14ac:dyDescent="0.25">
      <c r="A733" s="1096"/>
      <c r="B733" s="1455">
        <v>483</v>
      </c>
      <c r="C733" s="1100">
        <v>1.0439803580504068</v>
      </c>
      <c r="D733" s="1100">
        <v>1.024804352582297</v>
      </c>
      <c r="E733" s="1100">
        <v>1.0339735903708036</v>
      </c>
      <c r="F733" s="1100">
        <v>0.98039635185769836</v>
      </c>
      <c r="G733" s="1100">
        <v>0.99936307295134119</v>
      </c>
      <c r="H733" s="1100">
        <v>1.0351621148280621</v>
      </c>
      <c r="I733" s="1100">
        <v>1.035610139990865</v>
      </c>
      <c r="K733">
        <v>1.129285830977123</v>
      </c>
      <c r="L733">
        <v>0</v>
      </c>
      <c r="M733">
        <v>7.3262617729488624E-4</v>
      </c>
      <c r="N733">
        <v>7.4701043117065921E-2</v>
      </c>
      <c r="O733">
        <v>9.8271641273207835E-3</v>
      </c>
      <c r="P733">
        <v>1.3602034680910056E-2</v>
      </c>
      <c r="Q733">
        <v>4.4141057288601526E-4</v>
      </c>
      <c r="R733">
        <v>7.3105870583884053E-4</v>
      </c>
      <c r="S733">
        <v>7.2823656301979664E-2</v>
      </c>
      <c r="T733">
        <v>0.80922172691292749</v>
      </c>
      <c r="U733">
        <v>0</v>
      </c>
      <c r="V733">
        <v>9.1029365952369906E-2</v>
      </c>
      <c r="W733">
        <v>4.8105429896297007E-2</v>
      </c>
      <c r="X733">
        <v>7.545866082965035E-3</v>
      </c>
      <c r="Y733">
        <v>1.9897008038557125E-3</v>
      </c>
    </row>
    <row r="734" spans="1:25" x14ac:dyDescent="0.25">
      <c r="A734" s="1096"/>
      <c r="B734" s="1455">
        <v>484</v>
      </c>
      <c r="C734" s="1100">
        <v>1.0081234246872295</v>
      </c>
      <c r="D734" s="1100">
        <v>0.98900300282908282</v>
      </c>
      <c r="E734" s="1100">
        <v>0.97433361875691549</v>
      </c>
      <c r="F734" s="1100">
        <v>1.0103082810539501</v>
      </c>
      <c r="G734" s="1100">
        <v>1.023985823301967</v>
      </c>
      <c r="H734" s="1100">
        <v>1.0063008712337294</v>
      </c>
      <c r="I734" s="1100">
        <v>1.0311265153622755</v>
      </c>
      <c r="K734">
        <v>1.1594254149409438</v>
      </c>
      <c r="L734">
        <v>0</v>
      </c>
      <c r="M734">
        <v>8.4667764886967576E-4</v>
      </c>
      <c r="N734">
        <v>7.2095129179676171E-2</v>
      </c>
      <c r="O734">
        <v>1.0303022723328632E-2</v>
      </c>
      <c r="P734">
        <v>1.3451690230692976E-2</v>
      </c>
      <c r="Q734">
        <v>4.3591490014763343E-4</v>
      </c>
      <c r="R734">
        <v>8.4481420710765182E-4</v>
      </c>
      <c r="S734">
        <v>7.5184823648987764E-2</v>
      </c>
      <c r="T734">
        <v>0.83789214061290496</v>
      </c>
      <c r="U734">
        <v>0</v>
      </c>
      <c r="V734">
        <v>9.291835702892455E-2</v>
      </c>
      <c r="W734">
        <v>4.8097120726366821E-2</v>
      </c>
      <c r="X734">
        <v>6.7497735528584948E-3</v>
      </c>
      <c r="Y734">
        <v>2.2993057788185016E-3</v>
      </c>
    </row>
    <row r="735" spans="1:25" x14ac:dyDescent="0.25">
      <c r="A735" s="1096"/>
      <c r="B735" s="1455">
        <v>485</v>
      </c>
      <c r="C735" s="1100">
        <v>0.99263769072053498</v>
      </c>
      <c r="D735" s="1100">
        <v>1.0136653213052638</v>
      </c>
      <c r="E735" s="1100">
        <v>1.0072595821653256</v>
      </c>
      <c r="F735" s="1100">
        <v>1.0124710457737938</v>
      </c>
      <c r="G735" s="1100">
        <v>0.98320694431701228</v>
      </c>
      <c r="H735" s="1100">
        <v>1.0491297307227183</v>
      </c>
      <c r="I735" s="1100">
        <v>1.0194528176064779</v>
      </c>
      <c r="K735">
        <v>1.1686478890919947</v>
      </c>
      <c r="L735">
        <v>0</v>
      </c>
      <c r="M735">
        <v>8.2917232692767849E-4</v>
      </c>
      <c r="N735">
        <v>7.8001515657164844E-2</v>
      </c>
      <c r="O735">
        <v>1.037195214396229E-2</v>
      </c>
      <c r="P735">
        <v>1.3781216850986981E-2</v>
      </c>
      <c r="Q735">
        <v>4.5367513492879173E-4</v>
      </c>
      <c r="R735">
        <v>8.2742191129687114E-4</v>
      </c>
      <c r="S735">
        <v>7.636511725148426E-2</v>
      </c>
      <c r="T735">
        <v>0.83746884364983132</v>
      </c>
      <c r="U735">
        <v>0</v>
      </c>
      <c r="V735">
        <v>9.1562729336742546E-2</v>
      </c>
      <c r="W735">
        <v>5.1021706515012664E-2</v>
      </c>
      <c r="X735">
        <v>7.370913284522088E-3</v>
      </c>
      <c r="Y735">
        <v>2.2519696829903296E-3</v>
      </c>
    </row>
    <row r="736" spans="1:25" x14ac:dyDescent="0.25">
      <c r="A736" s="1096"/>
      <c r="B736" s="1455">
        <v>486</v>
      </c>
      <c r="C736" s="1100">
        <v>1.0131511137999201</v>
      </c>
      <c r="D736" s="1100">
        <v>0.99859925024709884</v>
      </c>
      <c r="E736" s="1100">
        <v>1.0121218618247845</v>
      </c>
      <c r="F736" s="1100">
        <v>1.0028698175483792</v>
      </c>
      <c r="G736" s="1100">
        <v>1.0061885961699453</v>
      </c>
      <c r="H736" s="1100">
        <v>1.0107902437994531</v>
      </c>
      <c r="I736" s="1100">
        <v>1.0340829180824467</v>
      </c>
      <c r="K736">
        <v>1.1529163324640386</v>
      </c>
      <c r="L736">
        <v>0</v>
      </c>
      <c r="M736">
        <v>7.7948496786909693E-4</v>
      </c>
      <c r="N736">
        <v>7.4405730083963714E-2</v>
      </c>
      <c r="O736">
        <v>1.0224574477808128E-2</v>
      </c>
      <c r="P736">
        <v>1.3703491351364547E-2</v>
      </c>
      <c r="Q736">
        <v>4.4940818236431879E-4</v>
      </c>
      <c r="R736">
        <v>7.7777702916302476E-4</v>
      </c>
      <c r="S736">
        <v>7.4887432972480295E-2</v>
      </c>
      <c r="T736">
        <v>0.82920585641032729</v>
      </c>
      <c r="U736">
        <v>0</v>
      </c>
      <c r="V736">
        <v>9.2040317331346821E-2</v>
      </c>
      <c r="W736">
        <v>4.8530282623642465E-2</v>
      </c>
      <c r="X736">
        <v>7.3540942901943419E-3</v>
      </c>
      <c r="Y736">
        <v>2.1168526792529974E-3</v>
      </c>
    </row>
    <row r="737" spans="1:25" x14ac:dyDescent="0.25">
      <c r="A737" s="1096"/>
      <c r="B737" s="1455">
        <v>487</v>
      </c>
      <c r="C737" s="1100">
        <v>1.0044039314179394</v>
      </c>
      <c r="D737" s="1100">
        <v>0.99409796021758967</v>
      </c>
      <c r="E737" s="1100">
        <v>0.99306746459593853</v>
      </c>
      <c r="F737" s="1100">
        <v>0.99948871142891116</v>
      </c>
      <c r="G737" s="1100">
        <v>1.0024187819779204</v>
      </c>
      <c r="H737" s="1100">
        <v>1.0043171906313821</v>
      </c>
      <c r="I737" s="1100">
        <v>0.96706678348018393</v>
      </c>
      <c r="K737">
        <v>1.1454852061438254</v>
      </c>
      <c r="L737">
        <v>0</v>
      </c>
      <c r="M737">
        <v>8.1421750166330476E-4</v>
      </c>
      <c r="N737">
        <v>7.3373031623686719E-2</v>
      </c>
      <c r="O737">
        <v>1.0326046955379148E-2</v>
      </c>
      <c r="P737">
        <v>1.3431012190230759E-2</v>
      </c>
      <c r="Q737">
        <v>4.4527019383522228E-4</v>
      </c>
      <c r="R737">
        <v>8.1242196153832478E-4</v>
      </c>
      <c r="S737">
        <v>7.053204218945279E-2</v>
      </c>
      <c r="T737">
        <v>0.82766949184507155</v>
      </c>
      <c r="U737">
        <v>0</v>
      </c>
      <c r="V737">
        <v>9.2089423321016051E-2</v>
      </c>
      <c r="W737">
        <v>4.8400654553893266E-2</v>
      </c>
      <c r="X737">
        <v>7.008884046904063E-3</v>
      </c>
      <c r="Y737">
        <v>2.2111447644796757E-3</v>
      </c>
    </row>
    <row r="738" spans="1:25" x14ac:dyDescent="0.25">
      <c r="A738" s="1096"/>
      <c r="B738" s="1455">
        <v>488</v>
      </c>
      <c r="C738" s="1100">
        <v>0.9973908911369308</v>
      </c>
      <c r="D738" s="1100">
        <v>1.00732446270085</v>
      </c>
      <c r="E738" s="1100">
        <v>0.95611425817403584</v>
      </c>
      <c r="F738" s="1100">
        <v>1.0016093326839834</v>
      </c>
      <c r="G738" s="1100">
        <v>0.96331683012228686</v>
      </c>
      <c r="H738" s="1100">
        <v>1.0208505405014121</v>
      </c>
      <c r="I738" s="1100">
        <v>0.99272019651727428</v>
      </c>
      <c r="K738">
        <v>1.1489906149159406</v>
      </c>
      <c r="L738">
        <v>0</v>
      </c>
      <c r="M738">
        <v>8.9481754246877856E-4</v>
      </c>
      <c r="N738">
        <v>7.2105630336149112E-2</v>
      </c>
      <c r="O738">
        <v>1.033178053315387E-2</v>
      </c>
      <c r="P738">
        <v>1.3126137951924157E-2</v>
      </c>
      <c r="Q738">
        <v>4.2904548485144618E-4</v>
      </c>
      <c r="R738">
        <v>8.9287621900141891E-4</v>
      </c>
      <c r="S738">
        <v>7.3043475267664804E-2</v>
      </c>
      <c r="T738">
        <v>0.83190640211689493</v>
      </c>
      <c r="U738">
        <v>0</v>
      </c>
      <c r="V738">
        <v>9.0585281919559474E-2</v>
      </c>
      <c r="W738">
        <v>4.8642573813370116E-2</v>
      </c>
      <c r="X738">
        <v>6.3921140842849956E-3</v>
      </c>
      <c r="Y738">
        <v>2.4301147315553728E-3</v>
      </c>
    </row>
    <row r="739" spans="1:25" x14ac:dyDescent="0.25">
      <c r="A739" s="1096"/>
      <c r="B739" s="1455">
        <v>489</v>
      </c>
      <c r="C739" s="1100">
        <v>1.0140267532134579</v>
      </c>
      <c r="D739" s="1100">
        <v>0.99775849169155462</v>
      </c>
      <c r="E739" s="1100">
        <v>1.0488696227552525</v>
      </c>
      <c r="F739" s="1100">
        <v>0.99774132025928797</v>
      </c>
      <c r="G739" s="1100">
        <v>1.0254526389356164</v>
      </c>
      <c r="H739" s="1100">
        <v>1.0242080597714176</v>
      </c>
      <c r="I739" s="1100">
        <v>1.0160581972537615</v>
      </c>
      <c r="K739">
        <v>1.1519994784660641</v>
      </c>
      <c r="L739">
        <v>0</v>
      </c>
      <c r="M739">
        <v>7.3122017545756556E-4</v>
      </c>
      <c r="N739">
        <v>7.7977301486998316E-2</v>
      </c>
      <c r="O739">
        <v>1.0231113833704088E-2</v>
      </c>
      <c r="P739">
        <v>1.3981688423051494E-2</v>
      </c>
      <c r="Q739">
        <v>4.6633035197251661E-4</v>
      </c>
      <c r="R739">
        <v>7.2963898001281874E-4</v>
      </c>
      <c r="S739">
        <v>7.4141990853951761E-2</v>
      </c>
      <c r="T739">
        <v>0.82257430332731518</v>
      </c>
      <c r="U739">
        <v>0</v>
      </c>
      <c r="V739">
        <v>9.2848223175205372E-2</v>
      </c>
      <c r="W739">
        <v>4.9786755235529716E-2</v>
      </c>
      <c r="X739">
        <v>8.0075161956101194E-3</v>
      </c>
      <c r="Y739">
        <v>1.9858367781697742E-3</v>
      </c>
    </row>
    <row r="740" spans="1:25" x14ac:dyDescent="0.25">
      <c r="A740" s="1096"/>
      <c r="B740" s="1455">
        <v>490</v>
      </c>
      <c r="C740" s="1100">
        <v>0.98546111067526876</v>
      </c>
      <c r="D740" s="1100">
        <v>1.0360727492425328</v>
      </c>
      <c r="E740" s="1100">
        <v>1.0219193271673672</v>
      </c>
      <c r="F740" s="1100">
        <v>0.99274684482150499</v>
      </c>
      <c r="G740" s="1100">
        <v>0.97606638007234103</v>
      </c>
      <c r="H740" s="1100">
        <v>0.99199281305442744</v>
      </c>
      <c r="I740" s="1100">
        <v>0.97221824895333708</v>
      </c>
      <c r="K740">
        <v>1.138979574678519</v>
      </c>
      <c r="L740">
        <v>0</v>
      </c>
      <c r="M740">
        <v>7.5934853695177208E-4</v>
      </c>
      <c r="N740">
        <v>7.4655344359224621E-2</v>
      </c>
      <c r="O740">
        <v>1.0361323098303938E-2</v>
      </c>
      <c r="P740">
        <v>1.3605882007159354E-2</v>
      </c>
      <c r="Q740">
        <v>4.5988365084771238E-4</v>
      </c>
      <c r="R740">
        <v>7.5765319147193234E-4</v>
      </c>
      <c r="S740">
        <v>7.0299677735232671E-2</v>
      </c>
      <c r="T740">
        <v>0.82019727878218407</v>
      </c>
      <c r="U740">
        <v>0</v>
      </c>
      <c r="V740">
        <v>9.1441989413943325E-2</v>
      </c>
      <c r="W740">
        <v>4.8414126526507818E-2</v>
      </c>
      <c r="X740">
        <v>7.4836822237148611E-3</v>
      </c>
      <c r="Y740">
        <v>2.0620822268791555E-3</v>
      </c>
    </row>
    <row r="741" spans="1:25" x14ac:dyDescent="0.25">
      <c r="A741" s="1096"/>
      <c r="B741" s="1455">
        <v>491</v>
      </c>
      <c r="C741" s="1100">
        <v>0.99128613212546624</v>
      </c>
      <c r="D741" s="1100">
        <v>0.99269359009765845</v>
      </c>
      <c r="E741" s="1100">
        <v>1.0041569976962315</v>
      </c>
      <c r="F741" s="1100">
        <v>0.99906770800594291</v>
      </c>
      <c r="G741" s="1100">
        <v>1.0042360573175062</v>
      </c>
      <c r="H741" s="1100">
        <v>1.0340328943502644</v>
      </c>
      <c r="I741" s="1100">
        <v>0.97170266296417684</v>
      </c>
      <c r="K741">
        <v>1.1542842881890534</v>
      </c>
      <c r="L741">
        <v>0</v>
      </c>
      <c r="M741">
        <v>8.3055978600185087E-4</v>
      </c>
      <c r="N741">
        <v>7.7400994651441138E-2</v>
      </c>
      <c r="O741">
        <v>1.0472282286186706E-2</v>
      </c>
      <c r="P741">
        <v>1.3568230984419198E-2</v>
      </c>
      <c r="Q741">
        <v>4.566418048189743E-4</v>
      </c>
      <c r="R741">
        <v>8.2878084263305187E-4</v>
      </c>
      <c r="S741">
        <v>7.3061575657365832E-2</v>
      </c>
      <c r="T741">
        <v>0.82658686871858333</v>
      </c>
      <c r="U741">
        <v>0</v>
      </c>
      <c r="V741">
        <v>9.2495258615950052E-2</v>
      </c>
      <c r="W741">
        <v>5.0721924522848787E-2</v>
      </c>
      <c r="X741">
        <v>7.2666216446902699E-3</v>
      </c>
      <c r="Y741">
        <v>2.2556682461158193E-3</v>
      </c>
    </row>
    <row r="742" spans="1:25" x14ac:dyDescent="0.25">
      <c r="A742" s="1096"/>
      <c r="B742" s="1455">
        <v>492</v>
      </c>
      <c r="C742" s="1100">
        <v>0.9938831069869235</v>
      </c>
      <c r="D742" s="1100">
        <v>1.0024012133971607</v>
      </c>
      <c r="E742" s="1100">
        <v>0.99708550561331166</v>
      </c>
      <c r="F742" s="1100">
        <v>1.0244065279172883</v>
      </c>
      <c r="G742" s="1100">
        <v>0.97542515154385001</v>
      </c>
      <c r="H742" s="1100">
        <v>1.018164690166292</v>
      </c>
      <c r="I742" s="1100">
        <v>1.0225276947844193</v>
      </c>
      <c r="K742">
        <v>1.1736778903039244</v>
      </c>
      <c r="L742">
        <v>0</v>
      </c>
      <c r="M742">
        <v>8.2451542796536785E-4</v>
      </c>
      <c r="N742">
        <v>7.5211082285447844E-2</v>
      </c>
      <c r="O742">
        <v>1.0402012773180579E-2</v>
      </c>
      <c r="P742">
        <v>1.3805757007045935E-2</v>
      </c>
      <c r="Q742">
        <v>4.5036616205403442E-4</v>
      </c>
      <c r="R742">
        <v>8.2272190751680075E-4</v>
      </c>
      <c r="S742">
        <v>7.5629370188348727E-2</v>
      </c>
      <c r="T742">
        <v>0.8480305962643957</v>
      </c>
      <c r="U742">
        <v>0</v>
      </c>
      <c r="V742">
        <v>9.1197056610644603E-2</v>
      </c>
      <c r="W742">
        <v>4.9494327483612877E-2</v>
      </c>
      <c r="X742">
        <v>7.2199372275860317E-3</v>
      </c>
      <c r="Y742">
        <v>2.2391778220568078E-3</v>
      </c>
    </row>
    <row r="743" spans="1:25" x14ac:dyDescent="0.25">
      <c r="A743" s="1096"/>
      <c r="B743" s="1455">
        <v>493</v>
      </c>
      <c r="C743" s="1100">
        <v>1.0040857676534276</v>
      </c>
      <c r="D743" s="1100">
        <v>0.95297675749119848</v>
      </c>
      <c r="E743" s="1100">
        <v>0.99431722698221647</v>
      </c>
      <c r="F743" s="1100">
        <v>1.0030522388757885</v>
      </c>
      <c r="G743" s="1100">
        <v>1.0222728009074835</v>
      </c>
      <c r="H743" s="1100">
        <v>0.96928122258800953</v>
      </c>
      <c r="I743" s="1100">
        <v>0.99896494298439398</v>
      </c>
      <c r="K743">
        <v>1.149920761702895</v>
      </c>
      <c r="L743">
        <v>0</v>
      </c>
      <c r="M743">
        <v>7.9739025631097877E-4</v>
      </c>
      <c r="N743">
        <v>7.2122841465833309E-2</v>
      </c>
      <c r="O743">
        <v>1.0505762760922049E-2</v>
      </c>
      <c r="P743">
        <v>1.3528225129118278E-2</v>
      </c>
      <c r="Q743">
        <v>4.535911830585259E-4</v>
      </c>
      <c r="R743">
        <v>7.955682633158178E-4</v>
      </c>
      <c r="S743">
        <v>7.3036713049441496E-2</v>
      </c>
      <c r="T743">
        <v>0.83053717476836242</v>
      </c>
      <c r="U743">
        <v>0</v>
      </c>
      <c r="V743">
        <v>9.2946314237147873E-2</v>
      </c>
      <c r="W743">
        <v>4.754046208207921E-2</v>
      </c>
      <c r="X743">
        <v>7.0862244661874319E-3</v>
      </c>
      <c r="Y743">
        <v>2.1652745537381374E-3</v>
      </c>
    </row>
    <row r="744" spans="1:25" x14ac:dyDescent="0.25">
      <c r="A744" s="1096"/>
      <c r="B744" s="1455">
        <v>494</v>
      </c>
      <c r="C744" s="1100">
        <v>0.98277880654660354</v>
      </c>
      <c r="D744" s="1100">
        <v>0.98926871517498038</v>
      </c>
      <c r="E744" s="1100">
        <v>1.0045100401300739</v>
      </c>
      <c r="F744" s="1100">
        <v>0.98749651090689528</v>
      </c>
      <c r="G744" s="1100">
        <v>1.0172843489474983</v>
      </c>
      <c r="H744" s="1100">
        <v>0.95648157807816636</v>
      </c>
      <c r="I744" s="1100">
        <v>0.96716753868839922</v>
      </c>
      <c r="K744">
        <v>1.1340923964384486</v>
      </c>
      <c r="L744">
        <v>0</v>
      </c>
      <c r="M744">
        <v>7.7542272575496448E-4</v>
      </c>
      <c r="N744">
        <v>7.2327200709745743E-2</v>
      </c>
      <c r="O744">
        <v>1.0577665206162387E-2</v>
      </c>
      <c r="P744">
        <v>1.3414175554031915E-2</v>
      </c>
      <c r="Q744">
        <v>4.6140032289951327E-4</v>
      </c>
      <c r="R744">
        <v>7.7362721714113248E-4</v>
      </c>
      <c r="S744">
        <v>7.0361670418863598E-2</v>
      </c>
      <c r="T744">
        <v>0.81699031191773475</v>
      </c>
      <c r="U744">
        <v>0</v>
      </c>
      <c r="V744">
        <v>9.3269563896392363E-2</v>
      </c>
      <c r="W744">
        <v>4.7387088064197461E-2</v>
      </c>
      <c r="X744">
        <v>7.1995575981198571E-3</v>
      </c>
      <c r="Y744">
        <v>2.1055582589145716E-3</v>
      </c>
    </row>
    <row r="745" spans="1:25" x14ac:dyDescent="0.25">
      <c r="A745" s="1096"/>
      <c r="B745" s="1455">
        <v>495</v>
      </c>
      <c r="C745" s="1100">
        <v>0.99604031175438368</v>
      </c>
      <c r="D745" s="1100">
        <v>1.0155785446540138</v>
      </c>
      <c r="E745" s="1100">
        <v>0.97153893354116416</v>
      </c>
      <c r="F745" s="1100">
        <v>0.97625767333922431</v>
      </c>
      <c r="G745" s="1100">
        <v>0.9999937014472029</v>
      </c>
      <c r="H745" s="1100">
        <v>0.98989742058519148</v>
      </c>
      <c r="I745" s="1100">
        <v>1.0030165276604968</v>
      </c>
      <c r="K745">
        <v>1.1251253371342309</v>
      </c>
      <c r="L745">
        <v>0</v>
      </c>
      <c r="M745">
        <v>8.389145523239154E-4</v>
      </c>
      <c r="N745">
        <v>7.0829712776537393E-2</v>
      </c>
      <c r="O745">
        <v>1.0317080918888546E-2</v>
      </c>
      <c r="P745">
        <v>1.3001094311026751E-2</v>
      </c>
      <c r="Q745">
        <v>4.3526666857204366E-4</v>
      </c>
      <c r="R745">
        <v>8.3703760055339738E-4</v>
      </c>
      <c r="S745">
        <v>7.2351670439060878E-2</v>
      </c>
      <c r="T745">
        <v>0.80983552378956425</v>
      </c>
      <c r="U745">
        <v>0</v>
      </c>
      <c r="V745">
        <v>9.2189950477892718E-2</v>
      </c>
      <c r="W745">
        <v>4.7333173503985054E-2</v>
      </c>
      <c r="X745">
        <v>6.555600781136978E-3</v>
      </c>
      <c r="Y745">
        <v>2.2781404193354836E-3</v>
      </c>
    </row>
    <row r="746" spans="1:25" x14ac:dyDescent="0.25">
      <c r="A746" s="1096"/>
      <c r="B746" s="1455">
        <v>496</v>
      </c>
      <c r="C746" s="1100">
        <v>1.0400341519368701</v>
      </c>
      <c r="D746" s="1100">
        <v>1.0195544700911032</v>
      </c>
      <c r="E746" s="1100">
        <v>0.993536126963805</v>
      </c>
      <c r="F746" s="1100">
        <v>1.0099697387328395</v>
      </c>
      <c r="G746" s="1100">
        <v>0.99992261444748753</v>
      </c>
      <c r="H746" s="1100">
        <v>1.0412787212676928</v>
      </c>
      <c r="I746" s="1100">
        <v>0.96969849422080745</v>
      </c>
      <c r="K746">
        <v>1.1499793034469088</v>
      </c>
      <c r="L746">
        <v>0</v>
      </c>
      <c r="M746">
        <v>8.0627477979382169E-4</v>
      </c>
      <c r="N746">
        <v>7.2765984264400563E-2</v>
      </c>
      <c r="O746">
        <v>9.8720837323794126E-3</v>
      </c>
      <c r="P746">
        <v>1.3516771661060552E-2</v>
      </c>
      <c r="Q746">
        <v>4.2589614743558218E-4</v>
      </c>
      <c r="R746">
        <v>8.0455986850339197E-4</v>
      </c>
      <c r="S746">
        <v>6.8812613585262042E-2</v>
      </c>
      <c r="T746">
        <v>0.83631731631502115</v>
      </c>
      <c r="U746">
        <v>0</v>
      </c>
      <c r="V746">
        <v>9.1137540555042099E-2</v>
      </c>
      <c r="W746">
        <v>4.7986775267522569E-2</v>
      </c>
      <c r="X746">
        <v>6.9562900910967191E-3</v>
      </c>
      <c r="Y746">
        <v>2.1897467389768608E-3</v>
      </c>
    </row>
    <row r="747" spans="1:25" x14ac:dyDescent="0.25">
      <c r="A747" s="1096"/>
      <c r="B747" s="1455">
        <v>497</v>
      </c>
      <c r="C747" s="1100">
        <v>0.96954494256348822</v>
      </c>
      <c r="D747" s="1100">
        <v>0.97084882184899646</v>
      </c>
      <c r="E747" s="1100">
        <v>1.0072341846432826</v>
      </c>
      <c r="F747" s="1100">
        <v>0.97406944796866834</v>
      </c>
      <c r="G747" s="1100">
        <v>0.98120957491983996</v>
      </c>
      <c r="H747" s="1100">
        <v>1.009395058058645</v>
      </c>
      <c r="I747" s="1100">
        <v>1.0395650426040517</v>
      </c>
      <c r="K747">
        <v>1.1410718410575069</v>
      </c>
      <c r="L747">
        <v>0</v>
      </c>
      <c r="M747">
        <v>8.3103572310996529E-4</v>
      </c>
      <c r="N747">
        <v>7.8164303213224692E-2</v>
      </c>
      <c r="O747">
        <v>1.0803890248041249E-2</v>
      </c>
      <c r="P747">
        <v>1.339907695796076E-2</v>
      </c>
      <c r="Q747">
        <v>4.7255633948135373E-4</v>
      </c>
      <c r="R747">
        <v>8.2921231409914661E-4</v>
      </c>
      <c r="S747">
        <v>7.9748360540606689E-2</v>
      </c>
      <c r="T747">
        <v>0.80570646440834814</v>
      </c>
      <c r="U747">
        <v>0</v>
      </c>
      <c r="V747">
        <v>9.2072069956827429E-2</v>
      </c>
      <c r="W747">
        <v>5.1128955145949999E-2</v>
      </c>
      <c r="X747">
        <v>7.3211450868648767E-3</v>
      </c>
      <c r="Y747">
        <v>2.2568425692119976E-3</v>
      </c>
    </row>
    <row r="748" spans="1:25" x14ac:dyDescent="0.25">
      <c r="A748" s="1096"/>
      <c r="B748" s="1455">
        <v>498</v>
      </c>
      <c r="C748" s="1100">
        <v>1.0083807864545886</v>
      </c>
      <c r="D748" s="1100">
        <v>1.0103579919674346</v>
      </c>
      <c r="E748" s="1100">
        <v>0.99678690926476499</v>
      </c>
      <c r="F748" s="1100">
        <v>0.99229505195042411</v>
      </c>
      <c r="G748" s="1100">
        <v>1.008650208251237</v>
      </c>
      <c r="H748" s="1100">
        <v>0.99061891621432996</v>
      </c>
      <c r="I748" s="1100">
        <v>1.0079729834553997</v>
      </c>
      <c r="K748">
        <v>1.138203967290869</v>
      </c>
      <c r="L748">
        <v>0</v>
      </c>
      <c r="M748">
        <v>7.8866670130564869E-4</v>
      </c>
      <c r="N748">
        <v>7.1871772243795859E-2</v>
      </c>
      <c r="O748">
        <v>1.0219991887720071E-2</v>
      </c>
      <c r="P748">
        <v>1.3407431143555299E-2</v>
      </c>
      <c r="Q748">
        <v>4.4235236069038356E-4</v>
      </c>
      <c r="R748">
        <v>7.8690345709814887E-4</v>
      </c>
      <c r="S748">
        <v>7.2068233457379449E-2</v>
      </c>
      <c r="T748">
        <v>0.82146751968572052</v>
      </c>
      <c r="U748">
        <v>0</v>
      </c>
      <c r="V748">
        <v>9.225907282505641E-2</v>
      </c>
      <c r="W748">
        <v>4.7305234968192646E-2</v>
      </c>
      <c r="X748">
        <v>7.0224301553980023E-3</v>
      </c>
      <c r="Y748">
        <v>2.141691807566245E-3</v>
      </c>
    </row>
    <row r="749" spans="1:25" x14ac:dyDescent="0.25">
      <c r="A749" s="1096"/>
      <c r="B749" s="1455">
        <v>499</v>
      </c>
      <c r="C749" s="1100">
        <v>0.99051380042609649</v>
      </c>
      <c r="D749" s="1100">
        <v>0.99678217790039003</v>
      </c>
      <c r="E749" s="1100">
        <v>0.99503792202207397</v>
      </c>
      <c r="F749" s="1100">
        <v>1.0058014003585456</v>
      </c>
      <c r="G749" s="1100">
        <v>1.0142056571040678</v>
      </c>
      <c r="H749" s="1100">
        <v>0.96511525914564067</v>
      </c>
      <c r="I749" s="1100">
        <v>0.98950765563348342</v>
      </c>
      <c r="K749">
        <v>1.1495692649144644</v>
      </c>
      <c r="L749">
        <v>0</v>
      </c>
      <c r="M749">
        <v>7.8932289179042803E-4</v>
      </c>
      <c r="N749">
        <v>7.1548132202006745E-2</v>
      </c>
      <c r="O749">
        <v>1.0460214238588304E-2</v>
      </c>
      <c r="P749">
        <v>1.354464008734751E-2</v>
      </c>
      <c r="Q749">
        <v>4.5195285894852075E-4</v>
      </c>
      <c r="R749">
        <v>7.8751154713488781E-4</v>
      </c>
      <c r="S749">
        <v>7.1486718792994203E-2</v>
      </c>
      <c r="T749">
        <v>0.83276539248653392</v>
      </c>
      <c r="U749">
        <v>0</v>
      </c>
      <c r="V749">
        <v>9.2939649705153296E-2</v>
      </c>
      <c r="W749">
        <v>4.7141354922062617E-2</v>
      </c>
      <c r="X749">
        <v>7.0896741372948368E-3</v>
      </c>
      <c r="Y749">
        <v>2.143346828189422E-3</v>
      </c>
    </row>
    <row r="750" spans="1:25" x14ac:dyDescent="0.25">
      <c r="A750" s="1096"/>
      <c r="B750" s="1455">
        <v>500</v>
      </c>
      <c r="C750" s="1100">
        <v>0.99633327314090547</v>
      </c>
      <c r="D750" s="1100">
        <v>0.9920846026032405</v>
      </c>
      <c r="E750" s="1100">
        <v>0.99005435822767651</v>
      </c>
      <c r="F750" s="1100">
        <v>1.0055776880339387</v>
      </c>
      <c r="G750" s="1100">
        <v>1.0138220952676973</v>
      </c>
      <c r="H750" s="1100">
        <v>0.99591650617757321</v>
      </c>
      <c r="I750" s="1100">
        <v>1.0138291217699569</v>
      </c>
      <c r="K750">
        <v>1.1551634030727473</v>
      </c>
      <c r="L750">
        <v>0</v>
      </c>
      <c r="M750">
        <v>8.1970812240422537E-4</v>
      </c>
      <c r="N750">
        <v>7.3196654512239029E-2</v>
      </c>
      <c r="O750">
        <v>1.0417145130746821E-2</v>
      </c>
      <c r="P750">
        <v>1.3531429130493305E-2</v>
      </c>
      <c r="Q750">
        <v>4.4783365261018374E-4</v>
      </c>
      <c r="R750">
        <v>8.1788522642920955E-4</v>
      </c>
      <c r="S750">
        <v>7.4266728253336439E-2</v>
      </c>
      <c r="T750">
        <v>0.83291315261409038</v>
      </c>
      <c r="U750">
        <v>0</v>
      </c>
      <c r="V750">
        <v>9.2776444085665419E-2</v>
      </c>
      <c r="W750">
        <v>4.83714328887117E-2</v>
      </c>
      <c r="X750">
        <v>7.0183917302815754E-3</v>
      </c>
      <c r="Y750">
        <v>2.2260139705478775E-3</v>
      </c>
    </row>
    <row r="751" spans="1:25" x14ac:dyDescent="0.25">
      <c r="A751" s="1096"/>
      <c r="B751" s="1455">
        <v>501</v>
      </c>
      <c r="C751" s="1100">
        <v>1.0099799928161566</v>
      </c>
      <c r="D751" s="1100">
        <v>1.020268864027162</v>
      </c>
      <c r="E751" s="1100">
        <v>1.0039196066034894</v>
      </c>
      <c r="F751" s="1100">
        <v>0.98007937327511097</v>
      </c>
      <c r="G751" s="1100">
        <v>1.0156151547679271</v>
      </c>
      <c r="H751" s="1100">
        <v>1.0097632782646924</v>
      </c>
      <c r="I751" s="1100">
        <v>1.0081035829707339</v>
      </c>
      <c r="K751">
        <v>1.1304149758061144</v>
      </c>
      <c r="L751">
        <v>0</v>
      </c>
      <c r="M751">
        <v>7.8776485437917845E-4</v>
      </c>
      <c r="N751">
        <v>7.3356474241830727E-2</v>
      </c>
      <c r="O751">
        <v>1.0166338635760296E-2</v>
      </c>
      <c r="P751">
        <v>1.3342309569578796E-2</v>
      </c>
      <c r="Q751">
        <v>4.4319566005362798E-4</v>
      </c>
      <c r="R751">
        <v>7.8603701802986824E-4</v>
      </c>
      <c r="S751">
        <v>7.2383095314888041E-2</v>
      </c>
      <c r="T751">
        <v>0.81089208702255611</v>
      </c>
      <c r="U751">
        <v>0</v>
      </c>
      <c r="V751">
        <v>9.2518915283702666E-2</v>
      </c>
      <c r="W751">
        <v>4.8078256699830076E-2</v>
      </c>
      <c r="X751">
        <v>7.0966975682179535E-3</v>
      </c>
      <c r="Y751">
        <v>2.1393336460439473E-3</v>
      </c>
    </row>
    <row r="752" spans="1:25" x14ac:dyDescent="0.25">
      <c r="A752" s="1096"/>
      <c r="B752" s="1455">
        <v>502</v>
      </c>
      <c r="C752" s="1100">
        <v>0.99823394488415307</v>
      </c>
      <c r="D752" s="1100">
        <v>0.99548876452308432</v>
      </c>
      <c r="E752" s="1100">
        <v>1.0366071517695754</v>
      </c>
      <c r="F752" s="1100">
        <v>1.0073459260454194</v>
      </c>
      <c r="G752" s="1100">
        <v>0.97414271531783247</v>
      </c>
      <c r="H752" s="1100">
        <v>1.0005793934065459</v>
      </c>
      <c r="I752" s="1100">
        <v>1.0173765043987435</v>
      </c>
      <c r="K752">
        <v>1.1573435711364177</v>
      </c>
      <c r="L752">
        <v>0</v>
      </c>
      <c r="M752">
        <v>7.4514755113124994E-4</v>
      </c>
      <c r="N752">
        <v>7.6577446802092983E-2</v>
      </c>
      <c r="O752">
        <v>1.039839628432517E-2</v>
      </c>
      <c r="P752">
        <v>1.3960762606730721E-2</v>
      </c>
      <c r="Q752">
        <v>4.6828303100509351E-4</v>
      </c>
      <c r="R752">
        <v>7.4349818792594335E-4</v>
      </c>
      <c r="S752">
        <v>7.4503563182009888E-2</v>
      </c>
      <c r="T752">
        <v>0.83129337571818418</v>
      </c>
      <c r="U752">
        <v>0</v>
      </c>
      <c r="V752">
        <v>9.1040654671507334E-2</v>
      </c>
      <c r="W752">
        <v>4.9238764920541515E-2</v>
      </c>
      <c r="X752">
        <v>7.8404163098022006E-3</v>
      </c>
      <c r="Y752">
        <v>2.0235569734226382E-3</v>
      </c>
    </row>
    <row r="753" spans="1:25" x14ac:dyDescent="0.25">
      <c r="A753" s="1096"/>
      <c r="B753" s="1455">
        <v>503</v>
      </c>
      <c r="C753" s="1100">
        <v>0.98900077474205439</v>
      </c>
      <c r="D753" s="1100">
        <v>1.0076680762638222</v>
      </c>
      <c r="E753" s="1100">
        <v>0.99643538291407918</v>
      </c>
      <c r="F753" s="1100">
        <v>0.99774752196805738</v>
      </c>
      <c r="G753" s="1100">
        <v>1.0157741492156525</v>
      </c>
      <c r="H753" s="1100">
        <v>1.0266268662886202</v>
      </c>
      <c r="I753" s="1100">
        <v>0.98261021262785087</v>
      </c>
      <c r="K753">
        <v>1.1520236604247704</v>
      </c>
      <c r="L753">
        <v>0</v>
      </c>
      <c r="M753">
        <v>8.3484733480363924E-4</v>
      </c>
      <c r="N753">
        <v>7.6005442788608046E-2</v>
      </c>
      <c r="O753">
        <v>1.0431259936873846E-2</v>
      </c>
      <c r="P753">
        <v>1.3491413332398136E-2</v>
      </c>
      <c r="Q753">
        <v>4.5133687865659056E-4</v>
      </c>
      <c r="R753">
        <v>8.3304630865780509E-4</v>
      </c>
      <c r="S753">
        <v>7.3180221100897933E-2</v>
      </c>
      <c r="T753">
        <v>0.82600458413253652</v>
      </c>
      <c r="U753">
        <v>0</v>
      </c>
      <c r="V753">
        <v>9.3045182952721323E-2</v>
      </c>
      <c r="W753">
        <v>5.0036453827275125E-2</v>
      </c>
      <c r="X753">
        <v>7.1122890624239184E-3</v>
      </c>
      <c r="Y753">
        <v>2.2672774385247008E-3</v>
      </c>
    </row>
    <row r="754" spans="1:25" x14ac:dyDescent="0.25">
      <c r="A754" s="1096"/>
      <c r="B754" s="1455">
        <v>504</v>
      </c>
      <c r="C754" s="1100">
        <v>1.0019661819832786</v>
      </c>
      <c r="D754" s="1100">
        <v>1.0003167756236053</v>
      </c>
      <c r="E754" s="1100">
        <v>1.0121279408485198</v>
      </c>
      <c r="F754" s="1100">
        <v>1.01269173486658</v>
      </c>
      <c r="G754" s="1100">
        <v>1.0016267366344267</v>
      </c>
      <c r="H754" s="1100">
        <v>0.99125446061797884</v>
      </c>
      <c r="I754" s="1100">
        <v>1.0065601624535814</v>
      </c>
      <c r="K754">
        <v>1.1581743969584306</v>
      </c>
      <c r="L754">
        <v>0</v>
      </c>
      <c r="M754">
        <v>7.7241199065799539E-4</v>
      </c>
      <c r="N754">
        <v>7.3728741120204971E-2</v>
      </c>
      <c r="O754">
        <v>1.0331609010703006E-2</v>
      </c>
      <c r="P754">
        <v>1.3788193522249022E-2</v>
      </c>
      <c r="Q754">
        <v>4.5411550562583607E-4</v>
      </c>
      <c r="R754">
        <v>7.7068619476854366E-4</v>
      </c>
      <c r="S754">
        <v>7.2844589809802768E-2</v>
      </c>
      <c r="T754">
        <v>0.83732653658879386</v>
      </c>
      <c r="U754">
        <v>0</v>
      </c>
      <c r="V754">
        <v>9.2118432883304513E-2</v>
      </c>
      <c r="W754">
        <v>4.8088552256853538E-2</v>
      </c>
      <c r="X754">
        <v>7.3977982912575681E-3</v>
      </c>
      <c r="Y754">
        <v>2.0975537655241504E-3</v>
      </c>
    </row>
    <row r="755" spans="1:25" x14ac:dyDescent="0.25">
      <c r="A755" s="1096"/>
      <c r="B755" s="1455">
        <v>505</v>
      </c>
      <c r="C755" s="1100">
        <v>0.99238816977222655</v>
      </c>
      <c r="D755" s="1100">
        <v>0.95420946962361142</v>
      </c>
      <c r="E755" s="1100">
        <v>0.96509206371264378</v>
      </c>
      <c r="F755" s="1100">
        <v>0.99095239178368233</v>
      </c>
      <c r="G755" s="1100">
        <v>0.9752075406397982</v>
      </c>
      <c r="H755" s="1100">
        <v>1.0025773625613061</v>
      </c>
      <c r="I755" s="1100">
        <v>1.0108424540852994</v>
      </c>
      <c r="K755">
        <v>1.1455327656889949</v>
      </c>
      <c r="L755">
        <v>0</v>
      </c>
      <c r="M755">
        <v>8.8602763772678117E-4</v>
      </c>
      <c r="N755">
        <v>7.3363270954794516E-2</v>
      </c>
      <c r="O755">
        <v>1.0614313612478551E-2</v>
      </c>
      <c r="P755">
        <v>1.3141231297284983E-2</v>
      </c>
      <c r="Q755">
        <v>4.4486285561872867E-4</v>
      </c>
      <c r="R755">
        <v>8.840703487396108E-4</v>
      </c>
      <c r="S755">
        <v>7.6096344312681044E-2</v>
      </c>
      <c r="T755">
        <v>0.82245474059330859</v>
      </c>
      <c r="U755">
        <v>0</v>
      </c>
      <c r="V755">
        <v>9.1220398870142744E-2</v>
      </c>
      <c r="W755">
        <v>4.9219272318751173E-2</v>
      </c>
      <c r="X755">
        <v>6.5741401073638982E-3</v>
      </c>
      <c r="Y755">
        <v>2.4061480555570836E-3</v>
      </c>
    </row>
    <row r="756" spans="1:25" x14ac:dyDescent="0.25">
      <c r="A756" s="1096"/>
      <c r="B756" s="1455">
        <v>506</v>
      </c>
      <c r="C756" s="1100">
        <v>1.0030339312155998</v>
      </c>
      <c r="D756" s="1100">
        <v>1.0061211080951582</v>
      </c>
      <c r="E756" s="1100">
        <v>0.99505962515189728</v>
      </c>
      <c r="F756" s="1100">
        <v>0.97366885209414589</v>
      </c>
      <c r="G756" s="1100">
        <v>0.95522988289443644</v>
      </c>
      <c r="H756" s="1100">
        <v>1.036085068757254</v>
      </c>
      <c r="I756" s="1100">
        <v>1.0269885069679434</v>
      </c>
      <c r="K756">
        <v>1.1306782489162679</v>
      </c>
      <c r="L756">
        <v>0</v>
      </c>
      <c r="M756">
        <v>8.3363569516250199E-4</v>
      </c>
      <c r="N756">
        <v>7.5581726818475137E-2</v>
      </c>
      <c r="O756">
        <v>1.0291194467531227E-2</v>
      </c>
      <c r="P756">
        <v>1.3204558717300184E-2</v>
      </c>
      <c r="Q756">
        <v>4.4465977486039457E-4</v>
      </c>
      <c r="R756">
        <v>8.3185370022828195E-4</v>
      </c>
      <c r="S756">
        <v>7.586583110489159E-2</v>
      </c>
      <c r="T756">
        <v>0.80615945944840284</v>
      </c>
      <c r="U756">
        <v>0</v>
      </c>
      <c r="V756">
        <v>9.0105773807282505E-2</v>
      </c>
      <c r="W756">
        <v>4.9798349168856455E-2</v>
      </c>
      <c r="X756">
        <v>6.9644460520781248E-3</v>
      </c>
      <c r="Y756">
        <v>2.2640315515228019E-3</v>
      </c>
    </row>
    <row r="757" spans="1:25" x14ac:dyDescent="0.25">
      <c r="A757" s="1096"/>
      <c r="B757" s="1455">
        <v>507</v>
      </c>
      <c r="C757" s="1100">
        <v>0.97286275621929907</v>
      </c>
      <c r="D757" s="1100">
        <v>1.0148849740022912</v>
      </c>
      <c r="E757" s="1100">
        <v>0.98696048395934577</v>
      </c>
      <c r="F757" s="1100">
        <v>1.0061891607758098</v>
      </c>
      <c r="G757" s="1100">
        <v>0.98310441495730783</v>
      </c>
      <c r="H757" s="1100">
        <v>1.0244470157230403</v>
      </c>
      <c r="I757" s="1100">
        <v>1.0249710906197183</v>
      </c>
      <c r="K757">
        <v>1.1634616641843558</v>
      </c>
      <c r="L757">
        <v>0</v>
      </c>
      <c r="M757">
        <v>8.6121931204439584E-4</v>
      </c>
      <c r="N757">
        <v>7.6192077645357265E-2</v>
      </c>
      <c r="O757">
        <v>1.0570903162722391E-2</v>
      </c>
      <c r="P757">
        <v>1.3539695143382428E-2</v>
      </c>
      <c r="Q757">
        <v>4.5302363638809916E-4</v>
      </c>
      <c r="R757">
        <v>8.5935743997859484E-4</v>
      </c>
      <c r="S757">
        <v>7.7213974763612997E-2</v>
      </c>
      <c r="T757">
        <v>0.83362688654512684</v>
      </c>
      <c r="U757">
        <v>0</v>
      </c>
      <c r="V757">
        <v>9.2062459344087355E-2</v>
      </c>
      <c r="W757">
        <v>5.0444453096678561E-2</v>
      </c>
      <c r="X757">
        <v>7.021165054548772E-3</v>
      </c>
      <c r="Y757">
        <v>2.3388876645177815E-3</v>
      </c>
    </row>
    <row r="758" spans="1:25" x14ac:dyDescent="0.25">
      <c r="A758" s="1096"/>
      <c r="B758" s="1455">
        <v>508</v>
      </c>
      <c r="C758" s="1100">
        <v>0.96587598678871223</v>
      </c>
      <c r="D758" s="1100">
        <v>1.0048212850928666</v>
      </c>
      <c r="E758" s="1100">
        <v>0.97461006224461166</v>
      </c>
      <c r="F758" s="1100">
        <v>0.96705312366762253</v>
      </c>
      <c r="G758" s="1100">
        <v>0.99696237347989991</v>
      </c>
      <c r="H758" s="1100">
        <v>0.97667498804214392</v>
      </c>
      <c r="I758" s="1100">
        <v>0.98218587248384825</v>
      </c>
      <c r="K758">
        <v>1.1218023054570112</v>
      </c>
      <c r="L758">
        <v>0</v>
      </c>
      <c r="M758">
        <v>8.5178135443907544E-4</v>
      </c>
      <c r="N758">
        <v>7.2585571704881544E-2</v>
      </c>
      <c r="O758">
        <v>1.0685732366289946E-2</v>
      </c>
      <c r="P758">
        <v>1.294320543131113E-2</v>
      </c>
      <c r="Q758">
        <v>4.5223456370657185E-4</v>
      </c>
      <c r="R758">
        <v>8.4984981472913698E-4</v>
      </c>
      <c r="S758">
        <v>7.2920333506172608E-2</v>
      </c>
      <c r="T758">
        <v>0.80200085720322556</v>
      </c>
      <c r="U758">
        <v>0</v>
      </c>
      <c r="V758">
        <v>9.2837427850958734E-2</v>
      </c>
      <c r="W758">
        <v>4.8416193701390824E-2</v>
      </c>
      <c r="X758">
        <v>6.6496696260076671E-3</v>
      </c>
      <c r="Y758">
        <v>2.3130110427765785E-3</v>
      </c>
    </row>
    <row r="759" spans="1:25" x14ac:dyDescent="0.25">
      <c r="A759" s="1096"/>
      <c r="B759" s="1455">
        <v>509</v>
      </c>
      <c r="C759" s="1100">
        <v>0.98911230636242542</v>
      </c>
      <c r="D759" s="1100">
        <v>0.9793837574410188</v>
      </c>
      <c r="E759" s="1100">
        <v>0.96438324466794045</v>
      </c>
      <c r="F759" s="1100">
        <v>1.0072777201969789</v>
      </c>
      <c r="G759" s="1100">
        <v>0.96086019757090035</v>
      </c>
      <c r="H759" s="1100">
        <v>0.9874186791284022</v>
      </c>
      <c r="I759" s="1100">
        <v>1.0156333612025903</v>
      </c>
      <c r="K759">
        <v>1.1548313028308557</v>
      </c>
      <c r="L759">
        <v>0</v>
      </c>
      <c r="M759">
        <v>8.6771676641337519E-4</v>
      </c>
      <c r="N759">
        <v>7.1690596001002069E-2</v>
      </c>
      <c r="O759">
        <v>1.0538881670896628E-2</v>
      </c>
      <c r="P759">
        <v>1.3293513412645506E-2</v>
      </c>
      <c r="Q759">
        <v>4.4138055916566625E-4</v>
      </c>
      <c r="R759">
        <v>8.6577050026721185E-4</v>
      </c>
      <c r="S759">
        <v>7.5051119662015039E-2</v>
      </c>
      <c r="T759">
        <v>0.83605225727997101</v>
      </c>
      <c r="U759">
        <v>0</v>
      </c>
      <c r="V759">
        <v>9.0689228425887905E-2</v>
      </c>
      <c r="W759">
        <v>4.8117919084667858E-2</v>
      </c>
      <c r="X759">
        <v>6.6020111001915717E-3</v>
      </c>
      <c r="Y759">
        <v>2.3563419005586412E-3</v>
      </c>
    </row>
    <row r="760" spans="1:25" x14ac:dyDescent="0.25">
      <c r="A760" s="1096"/>
      <c r="B760" s="1455">
        <v>510</v>
      </c>
      <c r="C760" s="1100">
        <v>0.96514617585708662</v>
      </c>
      <c r="D760" s="1100">
        <v>0.98450958631801888</v>
      </c>
      <c r="E760" s="1100">
        <v>0.97871822483539783</v>
      </c>
      <c r="F760" s="1100">
        <v>0.95918566402877059</v>
      </c>
      <c r="G760" s="1100">
        <v>1.041026668764458</v>
      </c>
      <c r="H760" s="1100">
        <v>1.0086764733185272</v>
      </c>
      <c r="I760" s="1100">
        <v>1.0095626606316705</v>
      </c>
      <c r="K760">
        <v>1.1269507039951685</v>
      </c>
      <c r="L760">
        <v>0</v>
      </c>
      <c r="M760">
        <v>8.8007261183232273E-4</v>
      </c>
      <c r="N760">
        <v>7.5940168555773679E-2</v>
      </c>
      <c r="O760">
        <v>1.0782919716665902E-2</v>
      </c>
      <c r="P760">
        <v>1.2975510317744451E-2</v>
      </c>
      <c r="Q760">
        <v>4.5826069643295112E-4</v>
      </c>
      <c r="R760">
        <v>8.7814023335206577E-4</v>
      </c>
      <c r="S760">
        <v>7.7177459816432328E-2</v>
      </c>
      <c r="T760">
        <v>0.79521232517229412</v>
      </c>
      <c r="U760">
        <v>0</v>
      </c>
      <c r="V760">
        <v>9.4741930731677512E-2</v>
      </c>
      <c r="W760">
        <v>5.0527956226043287E-2</v>
      </c>
      <c r="X760">
        <v>6.7460969042476004E-3</v>
      </c>
      <c r="Y760">
        <v>2.3900082363341978E-3</v>
      </c>
    </row>
    <row r="761" spans="1:25" x14ac:dyDescent="0.25">
      <c r="A761" s="1096"/>
      <c r="B761" s="1455">
        <v>511</v>
      </c>
      <c r="C761" s="1100">
        <v>0.99077204512989858</v>
      </c>
      <c r="D761" s="1100">
        <v>1.0178590898749478</v>
      </c>
      <c r="E761" s="1100">
        <v>0.99262641683353903</v>
      </c>
      <c r="F761" s="1100">
        <v>1.0225676649225033</v>
      </c>
      <c r="G761" s="1100">
        <v>1.0006799995217119</v>
      </c>
      <c r="H761" s="1100">
        <v>0.99644663318756144</v>
      </c>
      <c r="I761" s="1100">
        <v>1.0257911719170509</v>
      </c>
      <c r="K761">
        <v>1.1689391796158142</v>
      </c>
      <c r="L761">
        <v>0</v>
      </c>
      <c r="M761">
        <v>8.1199195985092853E-4</v>
      </c>
      <c r="N761">
        <v>7.3073713154402808E-2</v>
      </c>
      <c r="O761">
        <v>1.0369535727201095E-2</v>
      </c>
      <c r="P761">
        <v>1.3744863677059261E-2</v>
      </c>
      <c r="Q761">
        <v>4.4694649945930035E-4</v>
      </c>
      <c r="R761">
        <v>8.1018718403502959E-4</v>
      </c>
      <c r="S761">
        <v>7.4601404747368469E-2</v>
      </c>
      <c r="T761">
        <v>0.84681097194167243</v>
      </c>
      <c r="U761">
        <v>0</v>
      </c>
      <c r="V761">
        <v>9.2354463234659429E-2</v>
      </c>
      <c r="W761">
        <v>4.8215917594188459E-2</v>
      </c>
      <c r="X761">
        <v>7.1181053788090939E-3</v>
      </c>
      <c r="Y761">
        <v>2.2050624368099127E-3</v>
      </c>
    </row>
    <row r="762" spans="1:25" x14ac:dyDescent="0.25">
      <c r="A762" s="1096"/>
      <c r="B762" s="1455">
        <v>512</v>
      </c>
      <c r="C762" s="1100">
        <v>0.98396590499545311</v>
      </c>
      <c r="D762" s="1100">
        <v>0.99704234359912447</v>
      </c>
      <c r="E762" s="1100">
        <v>1.0023364613082948</v>
      </c>
      <c r="F762" s="1100">
        <v>0.98169661459081425</v>
      </c>
      <c r="G762" s="1100">
        <v>1.0244385953344191</v>
      </c>
      <c r="H762" s="1100">
        <v>1.0098392498127322</v>
      </c>
      <c r="I762" s="1100">
        <v>1.008592444820529</v>
      </c>
      <c r="K762">
        <v>1.1405531137409739</v>
      </c>
      <c r="L762">
        <v>0</v>
      </c>
      <c r="M762">
        <v>8.1882160017515736E-4</v>
      </c>
      <c r="N762">
        <v>7.5884739485488711E-2</v>
      </c>
      <c r="O762">
        <v>1.0531153716293111E-2</v>
      </c>
      <c r="P762">
        <v>1.3399016913704669E-2</v>
      </c>
      <c r="Q762">
        <v>4.5837081923835932E-4</v>
      </c>
      <c r="R762">
        <v>8.1702578092781675E-4</v>
      </c>
      <c r="S762">
        <v>7.5216495858740462E-2</v>
      </c>
      <c r="T762">
        <v>0.81233288612610999</v>
      </c>
      <c r="U762">
        <v>0</v>
      </c>
      <c r="V762">
        <v>9.3544674619379306E-2</v>
      </c>
      <c r="W762">
        <v>4.9782000538438877E-2</v>
      </c>
      <c r="X762">
        <v>7.1818966396179785E-3</v>
      </c>
      <c r="Y762">
        <v>2.2236748432092187E-3</v>
      </c>
    </row>
    <row r="763" spans="1:25" x14ac:dyDescent="0.25">
      <c r="A763" s="1096"/>
      <c r="B763" s="1455">
        <v>513</v>
      </c>
      <c r="C763" s="1100">
        <v>1.0026129666602688</v>
      </c>
      <c r="D763" s="1100">
        <v>1.0164653462059072</v>
      </c>
      <c r="E763" s="1100">
        <v>1.0113665265284335</v>
      </c>
      <c r="F763" s="1100">
        <v>0.9943074070241702</v>
      </c>
      <c r="G763" s="1100">
        <v>1.0384028244253538</v>
      </c>
      <c r="H763" s="1100">
        <v>0.97815973285542124</v>
      </c>
      <c r="I763" s="1100">
        <v>1.019845948425967</v>
      </c>
      <c r="K763">
        <v>1.1414083512870736</v>
      </c>
      <c r="L763">
        <v>0</v>
      </c>
      <c r="M763">
        <v>7.5805119785363878E-4</v>
      </c>
      <c r="N763">
        <v>7.2189684255784051E-2</v>
      </c>
      <c r="O763">
        <v>1.0258768417531617E-2</v>
      </c>
      <c r="P763">
        <v>1.3590408463067791E-2</v>
      </c>
      <c r="Q763">
        <v>4.5057112327065435E-4</v>
      </c>
      <c r="R763">
        <v>7.5633481433492935E-4</v>
      </c>
      <c r="S763">
        <v>7.2614841542841549E-2</v>
      </c>
      <c r="T763">
        <v>0.82217560920509858</v>
      </c>
      <c r="U763">
        <v>0</v>
      </c>
      <c r="V763">
        <v>9.3674383087372748E-2</v>
      </c>
      <c r="W763">
        <v>4.7105839815946501E-2</v>
      </c>
      <c r="X763">
        <v>7.291467720764346E-3</v>
      </c>
      <c r="Y763">
        <v>2.0584940389151399E-3</v>
      </c>
    </row>
    <row r="764" spans="1:25" x14ac:dyDescent="0.25">
      <c r="A764" s="1096"/>
      <c r="B764" s="1455">
        <v>514</v>
      </c>
      <c r="C764" s="1100">
        <v>0.97938144874326594</v>
      </c>
      <c r="D764" s="1100">
        <v>1.0225014300289832</v>
      </c>
      <c r="E764" s="1100">
        <v>1.017719146670081</v>
      </c>
      <c r="F764" s="1100">
        <v>0.99669824799618578</v>
      </c>
      <c r="G764" s="1100">
        <v>1.0064399270903639</v>
      </c>
      <c r="H764" s="1100">
        <v>0.99881663278053179</v>
      </c>
      <c r="I764" s="1100">
        <v>0.98634899721091274</v>
      </c>
      <c r="K764">
        <v>1.1483332765410317</v>
      </c>
      <c r="L764">
        <v>0</v>
      </c>
      <c r="M764">
        <v>7.8017461126316445E-4</v>
      </c>
      <c r="N764">
        <v>7.5738231610376655E-2</v>
      </c>
      <c r="O764">
        <v>1.0479378758918073E-2</v>
      </c>
      <c r="P764">
        <v>1.3663735429496096E-2</v>
      </c>
      <c r="Q764">
        <v>4.6318520323040209E-4</v>
      </c>
      <c r="R764">
        <v>7.7844466893425769E-4</v>
      </c>
      <c r="S764">
        <v>7.2523609004222556E-2</v>
      </c>
      <c r="T764">
        <v>0.82373635279849133</v>
      </c>
      <c r="U764">
        <v>0</v>
      </c>
      <c r="V764">
        <v>9.2895588915602373E-2</v>
      </c>
      <c r="W764">
        <v>4.9237241641601336E-2</v>
      </c>
      <c r="X764">
        <v>7.4790133467990743E-3</v>
      </c>
      <c r="Y764">
        <v>2.1186697746229028E-3</v>
      </c>
    </row>
    <row r="765" spans="1:25" x14ac:dyDescent="0.25">
      <c r="A765" s="1096"/>
      <c r="B765" s="1455">
        <v>515</v>
      </c>
      <c r="C765" s="1100">
        <v>1.0001709910495984</v>
      </c>
      <c r="D765" s="1100">
        <v>1.0312501057232017</v>
      </c>
      <c r="E765" s="1100">
        <v>1.0279204954542029</v>
      </c>
      <c r="F765" s="1100">
        <v>1.0234072646363577</v>
      </c>
      <c r="G765" s="1100">
        <v>1.032810880993114</v>
      </c>
      <c r="H765" s="1100">
        <v>0.9724363159568068</v>
      </c>
      <c r="I765" s="1100">
        <v>1.0224794281884073</v>
      </c>
      <c r="K765">
        <v>1.1648410513600214</v>
      </c>
      <c r="L765">
        <v>0</v>
      </c>
      <c r="M765">
        <v>7.2567598576269441E-4</v>
      </c>
      <c r="N765">
        <v>7.264449017754579E-2</v>
      </c>
      <c r="O765">
        <v>1.0229952608541941E-2</v>
      </c>
      <c r="P765">
        <v>1.4067987463663686E-2</v>
      </c>
      <c r="Q765">
        <v>4.5676244276340004E-4</v>
      </c>
      <c r="R765">
        <v>7.2402323578456631E-4</v>
      </c>
      <c r="S765">
        <v>7.222446917776594E-2</v>
      </c>
      <c r="T765">
        <v>0.84512695797781656</v>
      </c>
      <c r="U765">
        <v>0</v>
      </c>
      <c r="V765">
        <v>9.3498096893970026E-2</v>
      </c>
      <c r="W765">
        <v>4.6945606235290885E-2</v>
      </c>
      <c r="X765">
        <v>7.6778285590312243E-3</v>
      </c>
      <c r="Y765">
        <v>1.9705525736100574E-3</v>
      </c>
    </row>
    <row r="766" spans="1:25" x14ac:dyDescent="0.25">
      <c r="A766" s="1096"/>
      <c r="B766" s="1455">
        <v>516</v>
      </c>
      <c r="C766" s="1100">
        <v>0.96753982390269777</v>
      </c>
      <c r="D766" s="1100">
        <v>0.99241761668385264</v>
      </c>
      <c r="E766" s="1100">
        <v>0.98336028513793472</v>
      </c>
      <c r="F766" s="1100">
        <v>1.0147217271529596</v>
      </c>
      <c r="G766" s="1100">
        <v>1.0292404061420026</v>
      </c>
      <c r="H766" s="1100">
        <v>0.99042842309618684</v>
      </c>
      <c r="I766" s="1100">
        <v>1.0070900946680794</v>
      </c>
      <c r="K766">
        <v>1.168827940272152</v>
      </c>
      <c r="L766">
        <v>0</v>
      </c>
      <c r="M766">
        <v>8.5104937736515279E-4</v>
      </c>
      <c r="N766">
        <v>7.447140195223774E-2</v>
      </c>
      <c r="O766">
        <v>1.0723447051293069E-2</v>
      </c>
      <c r="P766">
        <v>1.3609538078470321E-2</v>
      </c>
      <c r="Q766">
        <v>4.5788724607234916E-4</v>
      </c>
      <c r="R766">
        <v>8.4914629650671757E-4</v>
      </c>
      <c r="S766">
        <v>7.571418566097135E-2</v>
      </c>
      <c r="T766">
        <v>0.84093972489078328</v>
      </c>
      <c r="U766">
        <v>0</v>
      </c>
      <c r="V766">
        <v>9.4174957301298406E-2</v>
      </c>
      <c r="W766">
        <v>4.9412108425123231E-2</v>
      </c>
      <c r="X766">
        <v>7.0154964486713184E-3</v>
      </c>
      <c r="Y766">
        <v>2.3110962980898721E-3</v>
      </c>
    </row>
    <row r="767" spans="1:25" x14ac:dyDescent="0.25">
      <c r="A767" s="1096"/>
      <c r="B767" s="1455">
        <v>517</v>
      </c>
      <c r="C767" s="1100">
        <v>1.0073203483588766</v>
      </c>
      <c r="D767" s="1100">
        <v>0.99892327645744461</v>
      </c>
      <c r="E767" s="1100">
        <v>0.98436648191420284</v>
      </c>
      <c r="F767" s="1100">
        <v>0.98305387586385895</v>
      </c>
      <c r="G767" s="1100">
        <v>0.9877196803612317</v>
      </c>
      <c r="H767" s="1100">
        <v>0.98775834901534276</v>
      </c>
      <c r="I767" s="1100">
        <v>0.99665005260760542</v>
      </c>
      <c r="K767">
        <v>1.1289528366299237</v>
      </c>
      <c r="L767">
        <v>0</v>
      </c>
      <c r="M767">
        <v>8.1141755433857693E-4</v>
      </c>
      <c r="N767">
        <v>7.1219403832893852E-2</v>
      </c>
      <c r="O767">
        <v>1.0273404268574728E-2</v>
      </c>
      <c r="P767">
        <v>1.3172714048894368E-2</v>
      </c>
      <c r="Q767">
        <v>4.3911847713337909E-4</v>
      </c>
      <c r="R767">
        <v>8.0959819171810149E-4</v>
      </c>
      <c r="S767">
        <v>7.1622558325730237E-2</v>
      </c>
      <c r="T767">
        <v>0.81462933068322252</v>
      </c>
      <c r="U767">
        <v>0</v>
      </c>
      <c r="V767">
        <v>9.1388227706265035E-2</v>
      </c>
      <c r="W767">
        <v>4.7225779416422357E-2</v>
      </c>
      <c r="X767">
        <v>6.7806598395231633E-3</v>
      </c>
      <c r="Y767">
        <v>2.2034593938844989E-3</v>
      </c>
    </row>
    <row r="768" spans="1:25" x14ac:dyDescent="0.25">
      <c r="A768" s="1096"/>
      <c r="B768" s="1455">
        <v>518</v>
      </c>
      <c r="C768" s="1100">
        <v>1.0002913814861858</v>
      </c>
      <c r="D768" s="1100">
        <v>1.0117415830111745</v>
      </c>
      <c r="E768" s="1100">
        <v>0.9686274149975812</v>
      </c>
      <c r="F768" s="1100">
        <v>1.0402450257963078</v>
      </c>
      <c r="G768" s="1100">
        <v>1.0227093404530048</v>
      </c>
      <c r="H768" s="1100">
        <v>1.009894617015354</v>
      </c>
      <c r="I768" s="1100">
        <v>0.97534422955921163</v>
      </c>
      <c r="K768">
        <v>1.18059693683077</v>
      </c>
      <c r="L768">
        <v>0</v>
      </c>
      <c r="M768">
        <v>8.5866153037090641E-4</v>
      </c>
      <c r="N768">
        <v>7.1863842295875974E-2</v>
      </c>
      <c r="O768">
        <v>1.0287857980895942E-2</v>
      </c>
      <c r="P768">
        <v>1.3674542417274874E-2</v>
      </c>
      <c r="Q768">
        <v>4.327441676460091E-4</v>
      </c>
      <c r="R768">
        <v>8.5677843842136105E-4</v>
      </c>
      <c r="S768">
        <v>7.097878120181518E-2</v>
      </c>
      <c r="T768">
        <v>0.86311842990141674</v>
      </c>
      <c r="U768">
        <v>0</v>
      </c>
      <c r="V768">
        <v>9.3055527774809757E-2</v>
      </c>
      <c r="W768">
        <v>4.8109419400590991E-2</v>
      </c>
      <c r="X768">
        <v>6.7458063099477732E-3</v>
      </c>
      <c r="Y768">
        <v>2.3318684724466256E-3</v>
      </c>
    </row>
    <row r="769" spans="1:25" x14ac:dyDescent="0.25">
      <c r="A769" s="1096"/>
      <c r="B769" s="1455">
        <v>519</v>
      </c>
      <c r="C769" s="1100">
        <v>1.00761420983144</v>
      </c>
      <c r="D769" s="1100">
        <v>0.97637865810286706</v>
      </c>
      <c r="E769" s="1100">
        <v>0.98160359482073678</v>
      </c>
      <c r="F769" s="1100">
        <v>0.99930697361424992</v>
      </c>
      <c r="G769" s="1100">
        <v>0.98615829174487124</v>
      </c>
      <c r="H769" s="1100">
        <v>1.0355202401128989</v>
      </c>
      <c r="I769" s="1100">
        <v>0.97844330948239278</v>
      </c>
      <c r="K769">
        <v>1.1509908295581988</v>
      </c>
      <c r="L769">
        <v>0</v>
      </c>
      <c r="M769">
        <v>8.6312456483743751E-4</v>
      </c>
      <c r="N769">
        <v>7.5135072859035909E-2</v>
      </c>
      <c r="O769">
        <v>1.0363713039490371E-2</v>
      </c>
      <c r="P769">
        <v>1.3346559494329295E-2</v>
      </c>
      <c r="Q769">
        <v>4.4173839922239403E-4</v>
      </c>
      <c r="R769">
        <v>8.6127852757571081E-4</v>
      </c>
      <c r="S769">
        <v>7.3025297262856725E-2</v>
      </c>
      <c r="T769">
        <v>0.82828212964746062</v>
      </c>
      <c r="U769">
        <v>0</v>
      </c>
      <c r="V769">
        <v>9.131389207601448E-2</v>
      </c>
      <c r="W769">
        <v>4.9905261119315147E-2</v>
      </c>
      <c r="X769">
        <v>6.8348954660629006E-3</v>
      </c>
      <c r="Y769">
        <v>2.3441162316707748E-3</v>
      </c>
    </row>
    <row r="770" spans="1:25" x14ac:dyDescent="0.25">
      <c r="A770" s="1096"/>
      <c r="B770" s="1455">
        <v>520</v>
      </c>
      <c r="C770" s="1100">
        <v>0.96295614282310993</v>
      </c>
      <c r="D770" s="1100">
        <v>1.030342751746478</v>
      </c>
      <c r="E770" s="1100">
        <v>0.96788805789447119</v>
      </c>
      <c r="F770" s="1100">
        <v>1.0143119365714517</v>
      </c>
      <c r="G770" s="1100">
        <v>1.0229062736930583</v>
      </c>
      <c r="H770" s="1100">
        <v>1.0015614099113088</v>
      </c>
      <c r="I770" s="1100">
        <v>1.0075270309176318</v>
      </c>
      <c r="K770">
        <v>1.1670213272796086</v>
      </c>
      <c r="L770">
        <v>0</v>
      </c>
      <c r="M770">
        <v>8.795112755457656E-4</v>
      </c>
      <c r="N770">
        <v>7.3442850015479622E-2</v>
      </c>
      <c r="O770">
        <v>1.0608891770535776E-2</v>
      </c>
      <c r="P770">
        <v>1.3449055142104153E-2</v>
      </c>
      <c r="Q770">
        <v>4.4591057817398042E-4</v>
      </c>
      <c r="R770">
        <v>8.775664107883161E-4</v>
      </c>
      <c r="S770">
        <v>7.5105013548349725E-2</v>
      </c>
      <c r="T770">
        <v>0.8416514889186969</v>
      </c>
      <c r="U770">
        <v>0</v>
      </c>
      <c r="V770">
        <v>9.4023964586164646E-2</v>
      </c>
      <c r="W770">
        <v>4.9188650279189276E-2</v>
      </c>
      <c r="X770">
        <v>6.7190008251949724E-3</v>
      </c>
      <c r="Y770">
        <v>2.3884464804762285E-3</v>
      </c>
    </row>
    <row r="771" spans="1:25" x14ac:dyDescent="0.25">
      <c r="A771" s="1096"/>
      <c r="B771" s="1455">
        <v>521</v>
      </c>
      <c r="C771" s="1100">
        <v>0.99386673825908367</v>
      </c>
      <c r="D771" s="1100">
        <v>1.0081614848701417</v>
      </c>
      <c r="E771" s="1100">
        <v>1.0056354921948938</v>
      </c>
      <c r="F771" s="1100">
        <v>1.0208693458851477</v>
      </c>
      <c r="G771" s="1100">
        <v>0.97685193691425909</v>
      </c>
      <c r="H771" s="1100">
        <v>1.0279964356227327</v>
      </c>
      <c r="I771" s="1100">
        <v>0.96622128247039885</v>
      </c>
      <c r="K771">
        <v>1.1680125302845836</v>
      </c>
      <c r="L771">
        <v>0</v>
      </c>
      <c r="M771">
        <v>8.1598119302491953E-4</v>
      </c>
      <c r="N771">
        <v>7.6381740133590115E-2</v>
      </c>
      <c r="O771">
        <v>1.0381176619880712E-2</v>
      </c>
      <c r="P771">
        <v>1.3792483204414431E-2</v>
      </c>
      <c r="Q771">
        <v>4.5334057343814109E-4</v>
      </c>
      <c r="R771">
        <v>8.1422321226291708E-4</v>
      </c>
      <c r="S771">
        <v>7.1654030825077403E-2</v>
      </c>
      <c r="T771">
        <v>0.84452494603852635</v>
      </c>
      <c r="U771">
        <v>0</v>
      </c>
      <c r="V771">
        <v>9.1259904592917385E-2</v>
      </c>
      <c r="W771">
        <v>5.0010197699757113E-2</v>
      </c>
      <c r="X771">
        <v>7.3404214025742228E-3</v>
      </c>
      <c r="Y771">
        <v>2.2160471751698743E-3</v>
      </c>
    </row>
    <row r="772" spans="1:25" x14ac:dyDescent="0.25">
      <c r="A772" s="1096"/>
      <c r="B772" s="1455">
        <v>522</v>
      </c>
      <c r="C772" s="1100">
        <v>1.0198082965545572</v>
      </c>
      <c r="D772" s="1100">
        <v>0.95982215187608144</v>
      </c>
      <c r="E772" s="1100">
        <v>0.96981411832031283</v>
      </c>
      <c r="F772" s="1100">
        <v>1.0044364903143834</v>
      </c>
      <c r="G772" s="1100">
        <v>1.0002605943894782</v>
      </c>
      <c r="H772" s="1100">
        <v>0.97208073214207902</v>
      </c>
      <c r="I772" s="1100">
        <v>0.99280574028684199</v>
      </c>
      <c r="K772">
        <v>1.1448882646998455</v>
      </c>
      <c r="L772">
        <v>0</v>
      </c>
      <c r="M772">
        <v>8.2593136087381479E-4</v>
      </c>
      <c r="N772">
        <v>6.9367469174565141E-2</v>
      </c>
      <c r="O772">
        <v>1.0306250928705128E-2</v>
      </c>
      <c r="P772">
        <v>1.3275110942537072E-2</v>
      </c>
      <c r="Q772">
        <v>4.3404420346019571E-4</v>
      </c>
      <c r="R772">
        <v>8.2404958801790735E-4</v>
      </c>
      <c r="S772">
        <v>7.1288197805814787E-2</v>
      </c>
      <c r="T772">
        <v>0.83332705325609735</v>
      </c>
      <c r="U772">
        <v>0</v>
      </c>
      <c r="V772">
        <v>9.1621533704008079E-2</v>
      </c>
      <c r="W772">
        <v>4.6404667065466344E-2</v>
      </c>
      <c r="X772">
        <v>6.6230280613370539E-3</v>
      </c>
      <c r="Y772">
        <v>2.2427913307110606E-3</v>
      </c>
    </row>
    <row r="773" spans="1:25" x14ac:dyDescent="0.25">
      <c r="A773" s="1096"/>
      <c r="B773" s="1455">
        <v>523</v>
      </c>
      <c r="C773" s="1100">
        <v>1.0044105683930193</v>
      </c>
      <c r="D773" s="1100">
        <v>1.0352758120879249</v>
      </c>
      <c r="E773" s="1100">
        <v>0.98816072886887629</v>
      </c>
      <c r="F773" s="1100">
        <v>1.0103412141261063</v>
      </c>
      <c r="G773" s="1100">
        <v>0.98815422411438725</v>
      </c>
      <c r="H773" s="1100">
        <v>0.9729130658095515</v>
      </c>
      <c r="I773" s="1100">
        <v>0.98200748935630067</v>
      </c>
      <c r="K773">
        <v>1.1461311464412272</v>
      </c>
      <c r="L773">
        <v>0</v>
      </c>
      <c r="M773">
        <v>7.8397777640297288E-4</v>
      </c>
      <c r="N773">
        <v>6.9602725064903948E-2</v>
      </c>
      <c r="O773">
        <v>1.0158115801174547E-2</v>
      </c>
      <c r="P773">
        <v>1.3477124806776344E-2</v>
      </c>
      <c r="Q773">
        <v>4.3586250667806574E-4</v>
      </c>
      <c r="R773">
        <v>7.821931172081279E-4</v>
      </c>
      <c r="S773">
        <v>6.8909098706209024E-2</v>
      </c>
      <c r="T773">
        <v>0.83698608728468049</v>
      </c>
      <c r="U773">
        <v>0</v>
      </c>
      <c r="V773">
        <v>9.1478614570304165E-2</v>
      </c>
      <c r="W773">
        <v>4.6048657708547179E-2</v>
      </c>
      <c r="X773">
        <v>6.9077728359973984E-3</v>
      </c>
      <c r="Y773">
        <v>2.1288718151487346E-3</v>
      </c>
    </row>
    <row r="774" spans="1:25" x14ac:dyDescent="0.25">
      <c r="A774" s="1096"/>
      <c r="B774" s="1455">
        <v>524</v>
      </c>
      <c r="C774" s="1100">
        <v>0.9988556617290959</v>
      </c>
      <c r="D774" s="1100">
        <v>1.0088911845007555</v>
      </c>
      <c r="E774" s="1100">
        <v>1.0046424787427701</v>
      </c>
      <c r="F774" s="1100">
        <v>0.97961948939032617</v>
      </c>
      <c r="G774" s="1100">
        <v>0.99187504019117312</v>
      </c>
      <c r="H774" s="1100">
        <v>1.0288322905252303</v>
      </c>
      <c r="I774" s="1100">
        <v>0.99602133805886917</v>
      </c>
      <c r="K774">
        <v>1.134973936468995</v>
      </c>
      <c r="L774">
        <v>0</v>
      </c>
      <c r="M774">
        <v>8.140069900339688E-4</v>
      </c>
      <c r="N774">
        <v>7.5968903264392915E-2</v>
      </c>
      <c r="O774">
        <v>1.0326012893876649E-2</v>
      </c>
      <c r="P774">
        <v>1.3348794582384851E-2</v>
      </c>
      <c r="Q774">
        <v>4.5048300273984134E-4</v>
      </c>
      <c r="R774">
        <v>8.1225468735157235E-4</v>
      </c>
      <c r="S774">
        <v>7.350047725143484E-2</v>
      </c>
      <c r="T774">
        <v>0.81046480709480895</v>
      </c>
      <c r="U774">
        <v>0</v>
      </c>
      <c r="V774">
        <v>9.1777421702101819E-2</v>
      </c>
      <c r="W774">
        <v>4.976914271993587E-2</v>
      </c>
      <c r="X774">
        <v>7.1589567607158429E-3</v>
      </c>
      <c r="Y774">
        <v>2.2106894992852564E-3</v>
      </c>
    </row>
    <row r="775" spans="1:25" x14ac:dyDescent="0.25">
      <c r="A775" s="1096"/>
      <c r="B775" s="1455">
        <v>525</v>
      </c>
      <c r="C775" s="1100">
        <v>1.0122484990862544</v>
      </c>
      <c r="D775" s="1100">
        <v>0.98963557346142028</v>
      </c>
      <c r="E775" s="1100">
        <v>0.98083318265355379</v>
      </c>
      <c r="F775" s="1100">
        <v>0.97199964176289244</v>
      </c>
      <c r="G775" s="1100">
        <v>1.0177405598415454</v>
      </c>
      <c r="H775" s="1100">
        <v>0.99038981829926032</v>
      </c>
      <c r="I775" s="1100">
        <v>1.0204578210406383</v>
      </c>
      <c r="K775">
        <v>1.1226745561808009</v>
      </c>
      <c r="L775">
        <v>0</v>
      </c>
      <c r="M775">
        <v>8.1861061504651458E-4</v>
      </c>
      <c r="N775">
        <v>7.1087286231466706E-2</v>
      </c>
      <c r="O775">
        <v>1.0260514949269611E-2</v>
      </c>
      <c r="P775">
        <v>1.3057445582827626E-2</v>
      </c>
      <c r="Q775">
        <v>4.3699763777255515E-4</v>
      </c>
      <c r="R775">
        <v>8.167800010319237E-4</v>
      </c>
      <c r="S775">
        <v>7.3432028380286479E-2</v>
      </c>
      <c r="T775">
        <v>0.80569830081963623</v>
      </c>
      <c r="U775">
        <v>0</v>
      </c>
      <c r="V775">
        <v>9.2551854321643784E-2</v>
      </c>
      <c r="W775">
        <v>4.7238640609948056E-2</v>
      </c>
      <c r="X775">
        <v>6.6903123506098635E-3</v>
      </c>
      <c r="Y775">
        <v>2.2230059113539182E-3</v>
      </c>
    </row>
    <row r="776" spans="1:25" x14ac:dyDescent="0.25">
      <c r="A776" s="1096"/>
      <c r="B776" s="1455">
        <v>526</v>
      </c>
      <c r="C776" s="1100">
        <v>0.97605728134983805</v>
      </c>
      <c r="D776" s="1100">
        <v>0.99828648231245987</v>
      </c>
      <c r="E776" s="1100">
        <v>0.98510257848885585</v>
      </c>
      <c r="F776" s="1100">
        <v>1.0182765993439353</v>
      </c>
      <c r="G776" s="1100">
        <v>1.01243894414686</v>
      </c>
      <c r="H776" s="1100">
        <v>0.98139298814622222</v>
      </c>
      <c r="I776" s="1100">
        <v>1.0301200613685226</v>
      </c>
      <c r="K776">
        <v>1.168698186693556</v>
      </c>
      <c r="L776">
        <v>0</v>
      </c>
      <c r="M776">
        <v>8.3095630126758075E-4</v>
      </c>
      <c r="N776">
        <v>7.3095847284697049E-2</v>
      </c>
      <c r="O776">
        <v>1.060541205862147E-2</v>
      </c>
      <c r="P776">
        <v>1.3658822917723194E-2</v>
      </c>
      <c r="Q776">
        <v>4.5364794808618091E-4</v>
      </c>
      <c r="R776">
        <v>8.290810441924924E-4</v>
      </c>
      <c r="S776">
        <v>7.615145781919111E-2</v>
      </c>
      <c r="T776">
        <v>0.84376742513724645</v>
      </c>
      <c r="U776">
        <v>0</v>
      </c>
      <c r="V776">
        <v>9.3233238224234988E-2</v>
      </c>
      <c r="W776">
        <v>4.8448595960504694E-2</v>
      </c>
      <c r="X776">
        <v>7.0291293045258146E-3</v>
      </c>
      <c r="Y776">
        <v>2.2564852957991984E-3</v>
      </c>
    </row>
    <row r="777" spans="1:25" x14ac:dyDescent="0.25">
      <c r="A777" s="1096"/>
      <c r="B777" s="1455">
        <v>527</v>
      </c>
      <c r="C777" s="1100">
        <v>1.0211845653061031</v>
      </c>
      <c r="D777" s="1100">
        <v>0.95544713049014685</v>
      </c>
      <c r="E777" s="1100">
        <v>0.99695752265046156</v>
      </c>
      <c r="F777" s="1100">
        <v>0.96300271019218553</v>
      </c>
      <c r="G777" s="1100">
        <v>0.9842026650300989</v>
      </c>
      <c r="H777" s="1100">
        <v>1.0224120324551695</v>
      </c>
      <c r="I777" s="1100">
        <v>1.0310318221311054</v>
      </c>
      <c r="K777">
        <v>1.1216636513284932</v>
      </c>
      <c r="L777">
        <v>0</v>
      </c>
      <c r="M777">
        <v>8.2165023570816766E-4</v>
      </c>
      <c r="N777">
        <v>7.4921421061005314E-2</v>
      </c>
      <c r="O777">
        <v>1.0320022919490973E-2</v>
      </c>
      <c r="P777">
        <v>1.3117660043742325E-2</v>
      </c>
      <c r="Q777">
        <v>4.4675875227214601E-4</v>
      </c>
      <c r="R777">
        <v>8.1987037256412299E-4</v>
      </c>
      <c r="S777">
        <v>7.6245534916751165E-2</v>
      </c>
      <c r="T777">
        <v>0.79720707668139623</v>
      </c>
      <c r="U777">
        <v>0</v>
      </c>
      <c r="V777">
        <v>9.0905702047052964E-2</v>
      </c>
      <c r="W777">
        <v>4.9307468779007824E-2</v>
      </c>
      <c r="X777">
        <v>6.9623691069926E-3</v>
      </c>
      <c r="Y777">
        <v>2.2314168839238642E-3</v>
      </c>
    </row>
    <row r="778" spans="1:25" x14ac:dyDescent="0.25">
      <c r="A778" s="1096"/>
      <c r="B778" s="1455">
        <v>528</v>
      </c>
      <c r="C778" s="1100">
        <v>1.0056707279292056</v>
      </c>
      <c r="D778" s="1100">
        <v>1.0311039815845116</v>
      </c>
      <c r="E778" s="1100">
        <v>0.98340881132769953</v>
      </c>
      <c r="F778" s="1100">
        <v>1.0202364025895101</v>
      </c>
      <c r="G778" s="1100">
        <v>0.99307370420848895</v>
      </c>
      <c r="H778" s="1100">
        <v>0.99874844339125202</v>
      </c>
      <c r="I778" s="1100">
        <v>1.0112084861633124</v>
      </c>
      <c r="K778">
        <v>1.1608672831140456</v>
      </c>
      <c r="L778">
        <v>0</v>
      </c>
      <c r="M778">
        <v>8.1304394155271324E-4</v>
      </c>
      <c r="N778">
        <v>7.1157494255092338E-2</v>
      </c>
      <c r="O778">
        <v>1.0160262243502902E-2</v>
      </c>
      <c r="P778">
        <v>1.3588272729904784E-2</v>
      </c>
      <c r="Q778">
        <v>4.3386081994124017E-4</v>
      </c>
      <c r="R778">
        <v>8.1124099239323841E-4</v>
      </c>
      <c r="S778">
        <v>7.2054843606513833E-2</v>
      </c>
      <c r="T778">
        <v>0.84550664858089575</v>
      </c>
      <c r="U778">
        <v>0</v>
      </c>
      <c r="V778">
        <v>9.1657397495685258E-2</v>
      </c>
      <c r="W778">
        <v>4.7211936155876419E-2</v>
      </c>
      <c r="X778">
        <v>6.8904396200181305E-3</v>
      </c>
      <c r="Y778">
        <v>2.2079305557731249E-3</v>
      </c>
    </row>
    <row r="779" spans="1:25" x14ac:dyDescent="0.25">
      <c r="A779" s="1096"/>
      <c r="B779" s="1455">
        <v>529</v>
      </c>
      <c r="C779" s="1100">
        <v>0.99664984183866601</v>
      </c>
      <c r="D779" s="1100">
        <v>1.0093228251544981</v>
      </c>
      <c r="E779" s="1100">
        <v>1.0034938571057568</v>
      </c>
      <c r="F779" s="1100">
        <v>1.0048863255071983</v>
      </c>
      <c r="G779" s="1100">
        <v>0.97013640607042917</v>
      </c>
      <c r="H779" s="1100">
        <v>1.0066931579166021</v>
      </c>
      <c r="I779" s="1100">
        <v>0.99764084312212842</v>
      </c>
      <c r="K779">
        <v>1.1521872557146391</v>
      </c>
      <c r="L779">
        <v>0</v>
      </c>
      <c r="M779">
        <v>8.0002192642704959E-4</v>
      </c>
      <c r="N779">
        <v>7.4401613564194169E-2</v>
      </c>
      <c r="O779">
        <v>1.0346720214349703E-2</v>
      </c>
      <c r="P779">
        <v>1.3603486679311539E-2</v>
      </c>
      <c r="Q779">
        <v>4.5086669444016278E-4</v>
      </c>
      <c r="R779">
        <v>7.9826185476370825E-4</v>
      </c>
      <c r="S779">
        <v>7.2867119105184175E-2</v>
      </c>
      <c r="T779">
        <v>0.8314449846767108</v>
      </c>
      <c r="U779">
        <v>0</v>
      </c>
      <c r="V779">
        <v>9.0902808006218944E-2</v>
      </c>
      <c r="W779">
        <v>4.8775551712543212E-2</v>
      </c>
      <c r="X779">
        <v>7.2232595116333001E-3</v>
      </c>
      <c r="Y779">
        <v>2.1726056217171129E-3</v>
      </c>
    </row>
    <row r="780" spans="1:25" x14ac:dyDescent="0.25">
      <c r="A780" s="1096"/>
      <c r="B780" s="1455">
        <v>530</v>
      </c>
      <c r="C780" s="1100">
        <v>0.96590946984107717</v>
      </c>
      <c r="D780" s="1100">
        <v>1.0440199825174667</v>
      </c>
      <c r="E780" s="1100">
        <v>1.0037191952639024</v>
      </c>
      <c r="F780" s="1100">
        <v>1.0155029072483117</v>
      </c>
      <c r="G780" s="1100">
        <v>1.0334681224308877</v>
      </c>
      <c r="H780" s="1100">
        <v>1.013251751972293</v>
      </c>
      <c r="I780" s="1100">
        <v>1.009558372295839</v>
      </c>
      <c r="K780">
        <v>1.1702612341371637</v>
      </c>
      <c r="L780">
        <v>0</v>
      </c>
      <c r="M780">
        <v>8.1932030236936241E-4</v>
      </c>
      <c r="N780">
        <v>7.6249318477947733E-2</v>
      </c>
      <c r="O780">
        <v>1.0532718892942269E-2</v>
      </c>
      <c r="P780">
        <v>1.3803411403087166E-2</v>
      </c>
      <c r="Q780">
        <v>4.5907550118678351E-4</v>
      </c>
      <c r="R780">
        <v>8.1752944115358567E-4</v>
      </c>
      <c r="S780">
        <v>7.505284011805477E-2</v>
      </c>
      <c r="T780">
        <v>0.84021404294731594</v>
      </c>
      <c r="U780">
        <v>0</v>
      </c>
      <c r="V780">
        <v>9.440175354079583E-2</v>
      </c>
      <c r="W780">
        <v>4.9980178557567007E-2</v>
      </c>
      <c r="X780">
        <v>7.3446399191693205E-3</v>
      </c>
      <c r="Y780">
        <v>2.2250456403122136E-3</v>
      </c>
    </row>
    <row r="781" spans="1:25" x14ac:dyDescent="0.25">
      <c r="A781" s="1096"/>
      <c r="B781" s="1455">
        <v>531</v>
      </c>
      <c r="C781" s="1100">
        <v>1.0124273923598972</v>
      </c>
      <c r="D781" s="1100">
        <v>1.0320794003804721</v>
      </c>
      <c r="E781" s="1100">
        <v>0.99453300334469152</v>
      </c>
      <c r="F781" s="1100">
        <v>0.95495086586806655</v>
      </c>
      <c r="G781" s="1100">
        <v>0.97311287468200069</v>
      </c>
      <c r="H781" s="1100">
        <v>1.0226131835446983</v>
      </c>
      <c r="I781" s="1100">
        <v>0.98453467067050549</v>
      </c>
      <c r="K781">
        <v>1.1056961502936569</v>
      </c>
      <c r="L781">
        <v>0</v>
      </c>
      <c r="M781">
        <v>8.0777963640511449E-4</v>
      </c>
      <c r="N781">
        <v>7.3118943693081861E-2</v>
      </c>
      <c r="O781">
        <v>1.0092183878724887E-2</v>
      </c>
      <c r="P781">
        <v>1.2925070981472706E-2</v>
      </c>
      <c r="Q781">
        <v>4.3582953367117679E-4</v>
      </c>
      <c r="R781">
        <v>8.0603016402180103E-4</v>
      </c>
      <c r="S781">
        <v>7.0596910921725195E-2</v>
      </c>
      <c r="T781">
        <v>0.79069508308250458</v>
      </c>
      <c r="U781">
        <v>0</v>
      </c>
      <c r="V781">
        <v>9.0641078134779285E-2</v>
      </c>
      <c r="W781">
        <v>4.8190844467940044E-2</v>
      </c>
      <c r="X781">
        <v>6.8082066734457252E-3</v>
      </c>
      <c r="Y781">
        <v>2.1937483986951838E-3</v>
      </c>
    </row>
    <row r="782" spans="1:25" x14ac:dyDescent="0.25">
      <c r="A782" s="1096"/>
      <c r="B782" s="1455">
        <v>532</v>
      </c>
      <c r="C782" s="1100">
        <v>1.029265453218591</v>
      </c>
      <c r="D782" s="1100">
        <v>0.99525043790911238</v>
      </c>
      <c r="E782" s="1100">
        <v>1.0221384354735343</v>
      </c>
      <c r="F782" s="1100">
        <v>0.99460878224790872</v>
      </c>
      <c r="G782" s="1100">
        <v>1.0361799494117909</v>
      </c>
      <c r="H782" s="1100">
        <v>0.99500540505481128</v>
      </c>
      <c r="I782" s="1100">
        <v>0.98341128679091905</v>
      </c>
      <c r="K782">
        <v>1.1380122241627126</v>
      </c>
      <c r="L782">
        <v>0</v>
      </c>
      <c r="M782">
        <v>7.4072204003058169E-4</v>
      </c>
      <c r="N782">
        <v>7.2872719826390861E-2</v>
      </c>
      <c r="O782">
        <v>1.0081228944167122E-2</v>
      </c>
      <c r="P782">
        <v>1.3640531517974733E-2</v>
      </c>
      <c r="Q782">
        <v>4.4754913926748615E-4</v>
      </c>
      <c r="R782">
        <v>7.3907328776566972E-4</v>
      </c>
      <c r="S782">
        <v>6.9620091688840896E-2</v>
      </c>
      <c r="T782">
        <v>0.8217213201857021</v>
      </c>
      <c r="U782">
        <v>0</v>
      </c>
      <c r="V782">
        <v>9.2940555887019397E-2</v>
      </c>
      <c r="W782">
        <v>4.7252043303892773E-2</v>
      </c>
      <c r="X782">
        <v>7.4263185678675554E-3</v>
      </c>
      <c r="Y782">
        <v>2.0115138538543196E-3</v>
      </c>
    </row>
    <row r="783" spans="1:25" x14ac:dyDescent="0.25">
      <c r="A783" s="1096"/>
      <c r="B783" s="1455">
        <v>533</v>
      </c>
      <c r="C783" s="1100">
        <v>0.96889766146595357</v>
      </c>
      <c r="D783" s="1100">
        <v>0.98449914389919668</v>
      </c>
      <c r="E783" s="1100">
        <v>0.98861024333997483</v>
      </c>
      <c r="F783" s="1100">
        <v>0.98885266221438639</v>
      </c>
      <c r="G783" s="1100">
        <v>1.0225899659816886</v>
      </c>
      <c r="H783" s="1100">
        <v>1.0460732000762141</v>
      </c>
      <c r="I783" s="1100">
        <v>1.0072238538257561</v>
      </c>
      <c r="K783">
        <v>1.1569697028993355</v>
      </c>
      <c r="L783">
        <v>0</v>
      </c>
      <c r="M783">
        <v>8.9075287645962501E-4</v>
      </c>
      <c r="N783">
        <v>7.9202580295912581E-2</v>
      </c>
      <c r="O783">
        <v>1.0744568527432195E-2</v>
      </c>
      <c r="P783">
        <v>1.3399993954742329E-2</v>
      </c>
      <c r="Q783">
        <v>4.612356133784516E-4</v>
      </c>
      <c r="R783">
        <v>8.888669674488865E-4</v>
      </c>
      <c r="S783">
        <v>7.8304395364815677E-2</v>
      </c>
      <c r="T783">
        <v>0.81915496232864005</v>
      </c>
      <c r="U783">
        <v>0</v>
      </c>
      <c r="V783">
        <v>9.3855385053537438E-2</v>
      </c>
      <c r="W783">
        <v>5.2385725545809531E-2</v>
      </c>
      <c r="X783">
        <v>7.0435392535977918E-3</v>
      </c>
      <c r="Y783">
        <v>2.4192028704787998E-3</v>
      </c>
    </row>
    <row r="784" spans="1:25" x14ac:dyDescent="0.25">
      <c r="A784" s="1096"/>
      <c r="B784" s="1455">
        <v>534</v>
      </c>
      <c r="C784" s="1100">
        <v>1.0367280043369245</v>
      </c>
      <c r="D784" s="1100">
        <v>1.0184716465299186</v>
      </c>
      <c r="E784" s="1100">
        <v>1.0046358110105376</v>
      </c>
      <c r="F784" s="1100">
        <v>0.95667077769347564</v>
      </c>
      <c r="G784" s="1100">
        <v>0.98930316108162419</v>
      </c>
      <c r="H784" s="1100">
        <v>1.0312057886511579</v>
      </c>
      <c r="I784" s="1100">
        <v>0.99305168235495545</v>
      </c>
      <c r="K784">
        <v>1.1060116415580734</v>
      </c>
      <c r="L784">
        <v>0</v>
      </c>
      <c r="M784">
        <v>7.8312476946780821E-4</v>
      </c>
      <c r="N784">
        <v>7.3085646611380256E-2</v>
      </c>
      <c r="O784">
        <v>9.9112545611671401E-3</v>
      </c>
      <c r="P784">
        <v>1.3032060675666432E-2</v>
      </c>
      <c r="Q784">
        <v>4.3238585053926269E-4</v>
      </c>
      <c r="R784">
        <v>7.8144282676841027E-4</v>
      </c>
      <c r="S784">
        <v>7.0355853050858355E-2</v>
      </c>
      <c r="T784">
        <v>0.79147915946599978</v>
      </c>
      <c r="U784">
        <v>0</v>
      </c>
      <c r="V784">
        <v>9.0761032159489191E-2</v>
      </c>
      <c r="W784">
        <v>4.7880437690333684E-2</v>
      </c>
      <c r="X784">
        <v>6.9486636634325258E-3</v>
      </c>
      <c r="Y784">
        <v>2.1268297719050011E-3</v>
      </c>
    </row>
    <row r="785" spans="1:25" x14ac:dyDescent="0.25">
      <c r="A785" s="1096"/>
      <c r="B785" s="1455">
        <v>535</v>
      </c>
      <c r="C785" s="1100">
        <v>0.99624548529971491</v>
      </c>
      <c r="D785" s="1100">
        <v>1.0069806100895331</v>
      </c>
      <c r="E785" s="1100">
        <v>0.99024934420836364</v>
      </c>
      <c r="F785" s="1100">
        <v>1.0397211235313537</v>
      </c>
      <c r="G785" s="1100">
        <v>1.0375453653623308</v>
      </c>
      <c r="H785" s="1100">
        <v>0.98141318949339318</v>
      </c>
      <c r="I785" s="1100">
        <v>0.97856789993197868</v>
      </c>
      <c r="K785">
        <v>1.1786298106324657</v>
      </c>
      <c r="L785">
        <v>0</v>
      </c>
      <c r="M785">
        <v>8.0271637381740908E-4</v>
      </c>
      <c r="N785">
        <v>7.1719266022161068E-2</v>
      </c>
      <c r="O785">
        <v>1.0356206409330767E-2</v>
      </c>
      <c r="P785">
        <v>1.387954484307341E-2</v>
      </c>
      <c r="Q785">
        <v>4.4530163984099702E-4</v>
      </c>
      <c r="R785">
        <v>8.0090488436603457E-4</v>
      </c>
      <c r="S785">
        <v>7.056572755287803E-2</v>
      </c>
      <c r="T785">
        <v>0.86118044137107397</v>
      </c>
      <c r="U785">
        <v>0</v>
      </c>
      <c r="V785">
        <v>9.3793058834034188E-2</v>
      </c>
      <c r="W785">
        <v>4.738957717384245E-2</v>
      </c>
      <c r="X785">
        <v>7.1226991986622539E-3</v>
      </c>
      <c r="Y785">
        <v>2.1797990770201711E-3</v>
      </c>
    </row>
    <row r="786" spans="1:25" x14ac:dyDescent="0.25">
      <c r="A786" s="1096"/>
      <c r="B786" s="1455">
        <v>536</v>
      </c>
      <c r="C786" s="1100">
        <v>1.0129001394023796</v>
      </c>
      <c r="D786" s="1100">
        <v>1.0060061303931636</v>
      </c>
      <c r="E786" s="1100">
        <v>0.97589705109549552</v>
      </c>
      <c r="F786" s="1100">
        <v>0.99894541526873049</v>
      </c>
      <c r="G786" s="1100">
        <v>1.0170697743717392</v>
      </c>
      <c r="H786" s="1100">
        <v>1.0257463472289663</v>
      </c>
      <c r="I786" s="1100">
        <v>1.0335487959004523</v>
      </c>
      <c r="K786">
        <v>1.1502492258010049</v>
      </c>
      <c r="L786">
        <v>0</v>
      </c>
      <c r="M786">
        <v>8.5038029235588535E-4</v>
      </c>
      <c r="N786">
        <v>7.2756920215132276E-2</v>
      </c>
      <c r="O786">
        <v>1.0185255545930087E-2</v>
      </c>
      <c r="P786">
        <v>1.333437963980284E-2</v>
      </c>
      <c r="Q786">
        <v>4.3161943289707675E-4</v>
      </c>
      <c r="R786">
        <v>8.4854418197660123E-4</v>
      </c>
      <c r="S786">
        <v>7.5159863155497483E-2</v>
      </c>
      <c r="T786">
        <v>0.82836377187510235</v>
      </c>
      <c r="U786">
        <v>0</v>
      </c>
      <c r="V786">
        <v>9.2506850492364304E-2</v>
      </c>
      <c r="W786">
        <v>4.8492645796189372E-2</v>
      </c>
      <c r="X786">
        <v>6.7102982176423537E-3</v>
      </c>
      <c r="Y786">
        <v>2.3094575408258971E-3</v>
      </c>
    </row>
    <row r="787" spans="1:25" x14ac:dyDescent="0.25">
      <c r="A787" s="1096"/>
      <c r="B787" s="1455">
        <v>537</v>
      </c>
      <c r="C787" s="1100">
        <v>0.96816702389069387</v>
      </c>
      <c r="D787" s="1100">
        <v>1.0027663256945163</v>
      </c>
      <c r="E787" s="1100">
        <v>1.0100547585418631</v>
      </c>
      <c r="F787" s="1100">
        <v>1.0033218843860239</v>
      </c>
      <c r="G787" s="1100">
        <v>0.98874113228679161</v>
      </c>
      <c r="H787" s="1100">
        <v>1.0150404062262062</v>
      </c>
      <c r="I787" s="1100">
        <v>1.010095465446684</v>
      </c>
      <c r="K787">
        <v>1.162040480696835</v>
      </c>
      <c r="L787">
        <v>0</v>
      </c>
      <c r="M787">
        <v>8.2128884369335302E-4</v>
      </c>
      <c r="N787">
        <v>7.7909159922678412E-2</v>
      </c>
      <c r="O787">
        <v>1.0681133680351621E-2</v>
      </c>
      <c r="P787">
        <v>1.3717987822122977E-2</v>
      </c>
      <c r="Q787">
        <v>4.6850714078771683E-4</v>
      </c>
      <c r="R787">
        <v>8.1949684301153391E-4</v>
      </c>
      <c r="S787">
        <v>7.656351515733914E-2</v>
      </c>
      <c r="T787">
        <v>0.82971620178662175</v>
      </c>
      <c r="U787">
        <v>0</v>
      </c>
      <c r="V787">
        <v>9.2430915233484928E-2</v>
      </c>
      <c r="W787">
        <v>5.0877279036973366E-2</v>
      </c>
      <c r="X787">
        <v>7.4471726575399411E-3</v>
      </c>
      <c r="Y787">
        <v>2.2304002596157005E-3</v>
      </c>
    </row>
    <row r="788" spans="1:25" x14ac:dyDescent="0.25">
      <c r="A788" s="1096"/>
      <c r="B788" s="1455">
        <v>538</v>
      </c>
      <c r="C788" s="1100">
        <v>1.0024536101034027</v>
      </c>
      <c r="D788" s="1100">
        <v>0.97173631409115502</v>
      </c>
      <c r="E788" s="1100">
        <v>1.0313295369858633</v>
      </c>
      <c r="F788" s="1100">
        <v>0.9652217915355854</v>
      </c>
      <c r="G788" s="1100">
        <v>0.98089286277313004</v>
      </c>
      <c r="H788" s="1100">
        <v>1.0130600086113777</v>
      </c>
      <c r="I788" s="1100">
        <v>0.98913401210466279</v>
      </c>
      <c r="K788">
        <v>1.1232480410398624</v>
      </c>
      <c r="L788">
        <v>0</v>
      </c>
      <c r="M788">
        <v>7.6695172884257915E-4</v>
      </c>
      <c r="N788">
        <v>7.7576645059145355E-2</v>
      </c>
      <c r="O788">
        <v>1.045338169498373E-2</v>
      </c>
      <c r="P788">
        <v>1.3416173557655512E-2</v>
      </c>
      <c r="Q788">
        <v>4.6831456520339955E-4</v>
      </c>
      <c r="R788">
        <v>7.65275016979428E-4</v>
      </c>
      <c r="S788">
        <v>7.3531698799362583E-2</v>
      </c>
      <c r="T788">
        <v>0.79686286511760318</v>
      </c>
      <c r="U788">
        <v>0</v>
      </c>
      <c r="V788">
        <v>9.1223535454427448E-2</v>
      </c>
      <c r="W788">
        <v>5.0033813072317156E-2</v>
      </c>
      <c r="X788">
        <v>7.6004641076511861E-3</v>
      </c>
      <c r="Y788">
        <v>2.0828263233764552E-3</v>
      </c>
    </row>
    <row r="789" spans="1:25" x14ac:dyDescent="0.25">
      <c r="A789" s="1096"/>
      <c r="B789" s="1455">
        <v>539</v>
      </c>
      <c r="C789" s="1100">
        <v>0.97221627604478189</v>
      </c>
      <c r="D789" s="1100">
        <v>0.98481660341765309</v>
      </c>
      <c r="E789" s="1100">
        <v>1.0200498478101077</v>
      </c>
      <c r="F789" s="1100">
        <v>1.0228937870873471</v>
      </c>
      <c r="G789" s="1100">
        <v>1.0244487618193976</v>
      </c>
      <c r="H789" s="1100">
        <v>1.0021296670719515</v>
      </c>
      <c r="I789" s="1100">
        <v>0.97352539362735835</v>
      </c>
      <c r="K789">
        <v>1.1762371015309538</v>
      </c>
      <c r="L789">
        <v>0</v>
      </c>
      <c r="M789">
        <v>7.9659332495826555E-4</v>
      </c>
      <c r="N789">
        <v>7.7878409178729346E-2</v>
      </c>
      <c r="O789">
        <v>1.0717167866083279E-2</v>
      </c>
      <c r="P789">
        <v>1.4013349363119721E-2</v>
      </c>
      <c r="Q789">
        <v>4.7479493160904296E-4</v>
      </c>
      <c r="R789">
        <v>7.9483281566627723E-4</v>
      </c>
      <c r="S789">
        <v>7.3650321501669017E-2</v>
      </c>
      <c r="T789">
        <v>0.84522967538225702</v>
      </c>
      <c r="U789">
        <v>0</v>
      </c>
      <c r="V789">
        <v>9.3852241166398162E-2</v>
      </c>
      <c r="W789">
        <v>5.0559516152923728E-2</v>
      </c>
      <c r="X789">
        <v>7.7001135897793302E-3</v>
      </c>
      <c r="Y789">
        <v>2.1632729076763407E-3</v>
      </c>
    </row>
    <row r="790" spans="1:25" x14ac:dyDescent="0.25">
      <c r="A790" s="1096"/>
      <c r="B790" s="1455">
        <v>540</v>
      </c>
      <c r="C790" s="1100">
        <v>1.0070449217616277</v>
      </c>
      <c r="D790" s="1100">
        <v>1.0039469952313964</v>
      </c>
      <c r="E790" s="1100">
        <v>1.0158874470776449</v>
      </c>
      <c r="F790" s="1100">
        <v>0.97343270782120728</v>
      </c>
      <c r="G790" s="1100">
        <v>1.0117042055594569</v>
      </c>
      <c r="H790" s="1100">
        <v>1.0430123699402676</v>
      </c>
      <c r="I790" s="1100">
        <v>1.0392714885070753</v>
      </c>
      <c r="K790">
        <v>1.1352959355659979</v>
      </c>
      <c r="L790">
        <v>0</v>
      </c>
      <c r="M790">
        <v>8.011874794627903E-4</v>
      </c>
      <c r="N790">
        <v>7.7356709821760794E-2</v>
      </c>
      <c r="O790">
        <v>1.0265842894887248E-2</v>
      </c>
      <c r="P790">
        <v>1.3435236667368565E-2</v>
      </c>
      <c r="Q790">
        <v>4.5292002365025823E-4</v>
      </c>
      <c r="R790">
        <v>7.9948622110209331E-4</v>
      </c>
      <c r="S790">
        <v>7.6868184536542844E-2</v>
      </c>
      <c r="T790">
        <v>0.80462526963674652</v>
      </c>
      <c r="U790">
        <v>0</v>
      </c>
      <c r="V790">
        <v>9.2424999029625865E-2</v>
      </c>
      <c r="W790">
        <v>5.0343467351198781E-2</v>
      </c>
      <c r="X790">
        <v>7.3490689192991831E-3</v>
      </c>
      <c r="Y790">
        <v>2.1759379432779421E-3</v>
      </c>
    </row>
    <row r="791" spans="1:25" x14ac:dyDescent="0.25">
      <c r="A791" s="1096"/>
      <c r="B791" s="1455">
        <v>541</v>
      </c>
      <c r="C791" s="1100">
        <v>0.99786073810997822</v>
      </c>
      <c r="D791" s="1100">
        <v>0.97122025086874753</v>
      </c>
      <c r="E791" s="1100">
        <v>0.98533661681489559</v>
      </c>
      <c r="F791" s="1100">
        <v>0.97639814929185842</v>
      </c>
      <c r="G791" s="1100">
        <v>1.0277351610000602</v>
      </c>
      <c r="H791" s="1100">
        <v>0.98629844426691982</v>
      </c>
      <c r="I791" s="1100">
        <v>1.0040596250919704</v>
      </c>
      <c r="K791">
        <v>1.1302276728286555</v>
      </c>
      <c r="L791">
        <v>0</v>
      </c>
      <c r="M791">
        <v>8.254933713311484E-4</v>
      </c>
      <c r="N791">
        <v>7.2667531851908038E-2</v>
      </c>
      <c r="O791">
        <v>1.0488445125468151E-2</v>
      </c>
      <c r="P791">
        <v>1.3163373646968998E-2</v>
      </c>
      <c r="Q791">
        <v>4.4875109671425146E-4</v>
      </c>
      <c r="R791">
        <v>8.2363970816575925E-4</v>
      </c>
      <c r="S791">
        <v>7.384146268070986E-2</v>
      </c>
      <c r="T791">
        <v>0.80905073953006446</v>
      </c>
      <c r="U791">
        <v>0</v>
      </c>
      <c r="V791">
        <v>9.3332716421731923E-2</v>
      </c>
      <c r="W791">
        <v>4.8157926609361031E-2</v>
      </c>
      <c r="X791">
        <v>6.8369037560248825E-3</v>
      </c>
      <c r="Y791">
        <v>2.2416757728703704E-3</v>
      </c>
    </row>
    <row r="792" spans="1:25" x14ac:dyDescent="0.25">
      <c r="A792" s="1096"/>
      <c r="B792" s="1455">
        <v>542</v>
      </c>
      <c r="C792" s="1100">
        <v>1.0026964984671576</v>
      </c>
      <c r="D792" s="1100">
        <v>1.0093085064482394</v>
      </c>
      <c r="E792" s="1100">
        <v>1.0154965688134481</v>
      </c>
      <c r="F792" s="1100">
        <v>1.0435117566238148</v>
      </c>
      <c r="G792" s="1100">
        <v>1.019392538153717</v>
      </c>
      <c r="H792" s="1100">
        <v>0.97340924020701192</v>
      </c>
      <c r="I792" s="1100">
        <v>0.96587832315996458</v>
      </c>
      <c r="K792">
        <v>1.1781055799559426</v>
      </c>
      <c r="L792">
        <v>0</v>
      </c>
      <c r="M792">
        <v>7.4997574899663268E-4</v>
      </c>
      <c r="N792">
        <v>7.2315716006375208E-2</v>
      </c>
      <c r="O792">
        <v>1.0288292917290312E-2</v>
      </c>
      <c r="P792">
        <v>1.41255871141971E-2</v>
      </c>
      <c r="Q792">
        <v>4.5373372971236432E-4</v>
      </c>
      <c r="R792">
        <v>7.4826936278264667E-4</v>
      </c>
      <c r="S792">
        <v>6.8835990803433514E-2</v>
      </c>
      <c r="T792">
        <v>0.86257838522087837</v>
      </c>
      <c r="U792">
        <v>0</v>
      </c>
      <c r="V792">
        <v>9.2860316123815512E-2</v>
      </c>
      <c r="W792">
        <v>4.7073607092133672E-2</v>
      </c>
      <c r="X792">
        <v>7.5391147957537012E-3</v>
      </c>
      <c r="Y792">
        <v>2.0365425385652169E-3</v>
      </c>
    </row>
    <row r="793" spans="1:25" x14ac:dyDescent="0.25">
      <c r="A793" s="1096"/>
      <c r="B793" s="1455">
        <v>543</v>
      </c>
      <c r="C793" s="1100">
        <v>1.0003243643644493</v>
      </c>
      <c r="D793" s="1100">
        <v>1.0216753830832543</v>
      </c>
      <c r="E793" s="1100">
        <v>1.0121907728680839</v>
      </c>
      <c r="F793" s="1100">
        <v>0.99916118856530145</v>
      </c>
      <c r="G793" s="1100">
        <v>1.0155935729746877</v>
      </c>
      <c r="H793" s="1100">
        <v>1.0343989794994788</v>
      </c>
      <c r="I793" s="1100">
        <v>1.0379435710984639</v>
      </c>
      <c r="K793">
        <v>1.1553488524932409</v>
      </c>
      <c r="L793">
        <v>0</v>
      </c>
      <c r="M793">
        <v>8.0045568398096078E-4</v>
      </c>
      <c r="N793">
        <v>7.6427214974014404E-2</v>
      </c>
      <c r="O793">
        <v>1.026150101813814E-2</v>
      </c>
      <c r="P793">
        <v>1.3690335750645507E-2</v>
      </c>
      <c r="Q793">
        <v>4.5106227546256727E-4</v>
      </c>
      <c r="R793">
        <v>7.9874182617316585E-4</v>
      </c>
      <c r="S793">
        <v>7.6233251704287311E-2</v>
      </c>
      <c r="T793">
        <v>0.82613490830191638</v>
      </c>
      <c r="U793">
        <v>0</v>
      </c>
      <c r="V793">
        <v>9.2756064976461286E-2</v>
      </c>
      <c r="W793">
        <v>4.9846750783060882E-2</v>
      </c>
      <c r="X793">
        <v>7.3755646213899146E-3</v>
      </c>
      <c r="Y793">
        <v>2.173911945671124E-3</v>
      </c>
    </row>
    <row r="794" spans="1:25" x14ac:dyDescent="0.25">
      <c r="A794" s="1096"/>
      <c r="B794" s="1455">
        <v>544</v>
      </c>
      <c r="C794" s="1100">
        <v>1.0164586296355185</v>
      </c>
      <c r="D794" s="1100">
        <v>0.9968344268835142</v>
      </c>
      <c r="E794" s="1100">
        <v>1.0141447511863229</v>
      </c>
      <c r="F794" s="1100">
        <v>1.0006256043661199</v>
      </c>
      <c r="G794" s="1100">
        <v>1.0108007279442295</v>
      </c>
      <c r="H794" s="1100">
        <v>0.99072840128980633</v>
      </c>
      <c r="I794" s="1100">
        <v>0.99457864668872376</v>
      </c>
      <c r="K794">
        <v>1.144486604273512</v>
      </c>
      <c r="L794">
        <v>0</v>
      </c>
      <c r="M794">
        <v>7.5886949393527789E-4</v>
      </c>
      <c r="N794">
        <v>7.2878275989437302E-2</v>
      </c>
      <c r="O794">
        <v>1.0199170995589096E-2</v>
      </c>
      <c r="P794">
        <v>1.3645413222002615E-2</v>
      </c>
      <c r="Q794">
        <v>4.4919746965718925E-4</v>
      </c>
      <c r="R794">
        <v>7.5717305567145397E-4</v>
      </c>
      <c r="S794">
        <v>7.1059868757896646E-2</v>
      </c>
      <c r="T794">
        <v>0.82721711955234767</v>
      </c>
      <c r="U794">
        <v>0</v>
      </c>
      <c r="V794">
        <v>9.2158149806921066E-2</v>
      </c>
      <c r="W794">
        <v>4.7477490698398524E-2</v>
      </c>
      <c r="X794">
        <v>7.3428387640192827E-3</v>
      </c>
      <c r="Y794">
        <v>2.060775455506978E-3</v>
      </c>
    </row>
    <row r="795" spans="1:25" x14ac:dyDescent="0.25">
      <c r="A795" s="1096"/>
      <c r="B795" s="1455">
        <v>545</v>
      </c>
      <c r="C795" s="1100">
        <v>0.97812741973784678</v>
      </c>
      <c r="D795" s="1100">
        <v>1.0114290145691096</v>
      </c>
      <c r="E795" s="1100">
        <v>0.98130683508592542</v>
      </c>
      <c r="F795" s="1100">
        <v>0.99488260454343291</v>
      </c>
      <c r="G795" s="1100">
        <v>1.0266774909628151</v>
      </c>
      <c r="H795" s="1100">
        <v>0.98399446740703</v>
      </c>
      <c r="I795" s="1100">
        <v>0.98713584233891527</v>
      </c>
      <c r="K795">
        <v>1.1449011472945378</v>
      </c>
      <c r="L795">
        <v>0</v>
      </c>
      <c r="M795">
        <v>8.3357772306177208E-4</v>
      </c>
      <c r="N795">
        <v>7.2489763057067017E-2</v>
      </c>
      <c r="O795">
        <v>1.0526483426243584E-2</v>
      </c>
      <c r="P795">
        <v>1.3319842818356112E-2</v>
      </c>
      <c r="Q795">
        <v>4.4854105090616665E-4</v>
      </c>
      <c r="R795">
        <v>8.3170152353918272E-4</v>
      </c>
      <c r="S795">
        <v>7.2433016688245519E-2</v>
      </c>
      <c r="T795">
        <v>0.82463468594919909</v>
      </c>
      <c r="U795">
        <v>0</v>
      </c>
      <c r="V795">
        <v>9.3787912292841391E-2</v>
      </c>
      <c r="W795">
        <v>4.8156845664994986E-2</v>
      </c>
      <c r="X795">
        <v>6.8423151694654285E-3</v>
      </c>
      <c r="Y795">
        <v>2.2636173767401051E-3</v>
      </c>
    </row>
    <row r="796" spans="1:25" x14ac:dyDescent="0.25">
      <c r="A796" s="1096"/>
      <c r="B796" s="1455">
        <v>546</v>
      </c>
      <c r="C796" s="1100">
        <v>1.0385940339605875</v>
      </c>
      <c r="D796" s="1100">
        <v>0.97391357010317003</v>
      </c>
      <c r="E796" s="1100">
        <v>0.99981442774277574</v>
      </c>
      <c r="F796" s="1100">
        <v>1.0269060864529753</v>
      </c>
      <c r="G796" s="1100">
        <v>0.97871646418770242</v>
      </c>
      <c r="H796" s="1100">
        <v>1.0059940474478279</v>
      </c>
      <c r="I796" s="1100">
        <v>1.0162869755016191</v>
      </c>
      <c r="K796">
        <v>1.1658162265054703</v>
      </c>
      <c r="L796">
        <v>0</v>
      </c>
      <c r="M796">
        <v>7.8418103244995419E-4</v>
      </c>
      <c r="N796">
        <v>7.2122197352256209E-2</v>
      </c>
      <c r="O796">
        <v>1.0070541154793671E-2</v>
      </c>
      <c r="P796">
        <v>1.3804431748261434E-2</v>
      </c>
      <c r="Q796">
        <v>4.3721343153153538E-4</v>
      </c>
      <c r="R796">
        <v>7.8245461228343579E-4</v>
      </c>
      <c r="S796">
        <v>7.2516195018083832E-2</v>
      </c>
      <c r="T796">
        <v>0.84991412703400948</v>
      </c>
      <c r="U796">
        <v>0</v>
      </c>
      <c r="V796">
        <v>9.026477215258584E-2</v>
      </c>
      <c r="W796">
        <v>4.7384607189133933E-2</v>
      </c>
      <c r="X796">
        <v>7.1742843264370549E-3</v>
      </c>
      <c r="Y796">
        <v>2.1295835185418956E-3</v>
      </c>
    </row>
    <row r="797" spans="1:25" x14ac:dyDescent="0.25">
      <c r="A797" s="1096"/>
      <c r="B797" s="1455">
        <v>547</v>
      </c>
      <c r="C797" s="1100">
        <v>1.0394813815112456</v>
      </c>
      <c r="D797" s="1100">
        <v>1.0092932457191377</v>
      </c>
      <c r="E797" s="1100">
        <v>0.99007744599660286</v>
      </c>
      <c r="F797" s="1100">
        <v>1.0110366926310024</v>
      </c>
      <c r="G797" s="1100">
        <v>1.0155298576659488</v>
      </c>
      <c r="H797" s="1100">
        <v>0.98856646306734564</v>
      </c>
      <c r="I797" s="1100">
        <v>1.0203468218525809</v>
      </c>
      <c r="K797">
        <v>1.1477187937907485</v>
      </c>
      <c r="L797">
        <v>0</v>
      </c>
      <c r="M797">
        <v>7.7450079994991925E-4</v>
      </c>
      <c r="N797">
        <v>6.9163503220315226E-2</v>
      </c>
      <c r="O797">
        <v>9.9162961287779794E-3</v>
      </c>
      <c r="P797">
        <v>1.3531772006915348E-2</v>
      </c>
      <c r="Q797">
        <v>4.2631207403937465E-4</v>
      </c>
      <c r="R797">
        <v>7.7276563176726276E-4</v>
      </c>
      <c r="S797">
        <v>7.0719274802497442E-2</v>
      </c>
      <c r="T797">
        <v>0.8374332560567207</v>
      </c>
      <c r="U797">
        <v>0</v>
      </c>
      <c r="V797">
        <v>9.181713012102366E-2</v>
      </c>
      <c r="W797">
        <v>4.5705524485182739E-2</v>
      </c>
      <c r="X797">
        <v>6.904246755908781E-3</v>
      </c>
      <c r="Y797">
        <v>2.1032133075484412E-3</v>
      </c>
    </row>
    <row r="798" spans="1:25" x14ac:dyDescent="0.25">
      <c r="A798" s="1096"/>
      <c r="B798" s="1455">
        <v>548</v>
      </c>
      <c r="C798" s="1100">
        <v>0.97346887100706125</v>
      </c>
      <c r="D798" s="1100">
        <v>1.0301831894355862</v>
      </c>
      <c r="E798" s="1100">
        <v>0.98732783173925243</v>
      </c>
      <c r="F798" s="1100">
        <v>0.99590552785020514</v>
      </c>
      <c r="G798" s="1100">
        <v>1.0027277491365978</v>
      </c>
      <c r="H798" s="1100">
        <v>0.99028113026203723</v>
      </c>
      <c r="I798" s="1100">
        <v>0.98093113187815129</v>
      </c>
      <c r="K798">
        <v>1.1450034610698789</v>
      </c>
      <c r="L798">
        <v>0</v>
      </c>
      <c r="M798">
        <v>8.2638600471763776E-4</v>
      </c>
      <c r="N798">
        <v>7.3186166078025125E-2</v>
      </c>
      <c r="O798">
        <v>1.050140931424055E-2</v>
      </c>
      <c r="P798">
        <v>1.3367439691388623E-2</v>
      </c>
      <c r="Q798">
        <v>4.5021282691949394E-4</v>
      </c>
      <c r="R798">
        <v>8.2453780019870913E-4</v>
      </c>
      <c r="S798">
        <v>7.1904252648625142E-2</v>
      </c>
      <c r="T798">
        <v>0.82508253232445827</v>
      </c>
      <c r="U798">
        <v>0</v>
      </c>
      <c r="V798">
        <v>9.2885783776767539E-2</v>
      </c>
      <c r="W798">
        <v>4.8443644652746275E-2</v>
      </c>
      <c r="X798">
        <v>6.9397478778973299E-3</v>
      </c>
      <c r="Y798">
        <v>2.2441200833281014E-3</v>
      </c>
    </row>
    <row r="799" spans="1:25" x14ac:dyDescent="0.25">
      <c r="A799" s="1096"/>
      <c r="B799" s="1455">
        <v>549</v>
      </c>
      <c r="C799" s="1100">
        <v>0.97563922161560268</v>
      </c>
      <c r="D799" s="1100">
        <v>0.99096513221850901</v>
      </c>
      <c r="E799" s="1100">
        <v>1.0115507850972072</v>
      </c>
      <c r="F799" s="1100">
        <v>1.0187544726024915</v>
      </c>
      <c r="G799" s="1100">
        <v>0.97573525303910524</v>
      </c>
      <c r="H799" s="1100">
        <v>0.99642320849997179</v>
      </c>
      <c r="I799" s="1100">
        <v>1.015211893167177</v>
      </c>
      <c r="K799">
        <v>1.1709654513959453</v>
      </c>
      <c r="L799">
        <v>0</v>
      </c>
      <c r="M799">
        <v>8.0135334724821259E-4</v>
      </c>
      <c r="N799">
        <v>7.6359009306741901E-2</v>
      </c>
      <c r="O799">
        <v>1.0650144681464987E-2</v>
      </c>
      <c r="P799">
        <v>1.3889670052654735E-2</v>
      </c>
      <c r="Q799">
        <v>4.6784669459594121E-4</v>
      </c>
      <c r="R799">
        <v>7.9957217549715047E-4</v>
      </c>
      <c r="S799">
        <v>7.6037375923137154E-2</v>
      </c>
      <c r="T799">
        <v>0.8423781073014196</v>
      </c>
      <c r="U799">
        <v>0</v>
      </c>
      <c r="V799">
        <v>9.1679151050809829E-2</v>
      </c>
      <c r="W799">
        <v>4.9821036737589058E-2</v>
      </c>
      <c r="X799">
        <v>7.5087189364766264E-3</v>
      </c>
      <c r="Y799">
        <v>2.1761718828064293E-3</v>
      </c>
    </row>
    <row r="800" spans="1:25" x14ac:dyDescent="0.25">
      <c r="A800" s="1096"/>
      <c r="B800" s="1455">
        <v>550</v>
      </c>
      <c r="C800" s="1100">
        <v>1.0282895263266634</v>
      </c>
      <c r="D800" s="1100">
        <v>0.99776556642071268</v>
      </c>
      <c r="E800" s="1100">
        <v>0.9918070397128389</v>
      </c>
      <c r="F800" s="1100">
        <v>1.0014128106609421</v>
      </c>
      <c r="G800" s="1100">
        <v>1.0284560792920385</v>
      </c>
      <c r="H800" s="1100">
        <v>1.0086849999727281</v>
      </c>
      <c r="I800" s="1100">
        <v>0.99512710500718726</v>
      </c>
      <c r="K800">
        <v>1.1451574030220193</v>
      </c>
      <c r="L800">
        <v>0</v>
      </c>
      <c r="M800">
        <v>7.9967309842657146E-4</v>
      </c>
      <c r="N800">
        <v>7.1789008257659978E-2</v>
      </c>
      <c r="O800">
        <v>1.0070941201969238E-2</v>
      </c>
      <c r="P800">
        <v>1.3453721864980984E-2</v>
      </c>
      <c r="Q800">
        <v>4.3371760259068039E-4</v>
      </c>
      <c r="R800">
        <v>7.9791726827878567E-4</v>
      </c>
      <c r="S800">
        <v>7.0929518688275017E-2</v>
      </c>
      <c r="T800">
        <v>0.82934669784470816</v>
      </c>
      <c r="U800">
        <v>0</v>
      </c>
      <c r="V800">
        <v>9.2629495406904197E-2</v>
      </c>
      <c r="W800">
        <v>4.7391452199935714E-2</v>
      </c>
      <c r="X800">
        <v>6.942938014245093E-3</v>
      </c>
      <c r="Y800">
        <v>2.171667770898058E-3</v>
      </c>
    </row>
    <row r="801" spans="1:25" x14ac:dyDescent="0.25">
      <c r="A801" s="1096"/>
      <c r="B801" s="1455">
        <v>551</v>
      </c>
      <c r="C801" s="1100">
        <v>0.98963222582169974</v>
      </c>
      <c r="D801" s="1100">
        <v>1.0398608224997887</v>
      </c>
      <c r="E801" s="1100">
        <v>1.0244104301846428</v>
      </c>
      <c r="F801" s="1100">
        <v>0.99957744461802933</v>
      </c>
      <c r="G801" s="1100">
        <v>1.0247907617023915</v>
      </c>
      <c r="H801" s="1100">
        <v>1.0042498759082068</v>
      </c>
      <c r="I801" s="1100">
        <v>1.0080496947758808</v>
      </c>
      <c r="K801">
        <v>1.1503202869361813</v>
      </c>
      <c r="L801">
        <v>0</v>
      </c>
      <c r="M801">
        <v>7.6042084491032165E-4</v>
      </c>
      <c r="N801">
        <v>7.5326646624519447E-2</v>
      </c>
      <c r="O801">
        <v>1.0303415221565273E-2</v>
      </c>
      <c r="P801">
        <v>1.3771057896454733E-2</v>
      </c>
      <c r="Q801">
        <v>4.5844540229663164E-4</v>
      </c>
      <c r="R801">
        <v>7.5874382659959745E-4</v>
      </c>
      <c r="S801">
        <v>7.295083230422611E-2</v>
      </c>
      <c r="T801">
        <v>0.82567766650553054</v>
      </c>
      <c r="U801">
        <v>0</v>
      </c>
      <c r="V801">
        <v>9.3418787816565055E-2</v>
      </c>
      <c r="W801">
        <v>4.8778501183297317E-2</v>
      </c>
      <c r="X801">
        <v>7.5715604238674721E-3</v>
      </c>
      <c r="Y801">
        <v>2.065050576168887E-3</v>
      </c>
    </row>
    <row r="802" spans="1:25" x14ac:dyDescent="0.25">
      <c r="A802" s="1096"/>
      <c r="B802" s="1455">
        <v>552</v>
      </c>
      <c r="C802" s="1100">
        <v>0.96560040358162358</v>
      </c>
      <c r="D802" s="1100">
        <v>1.014274010169383</v>
      </c>
      <c r="E802" s="1100">
        <v>1.0015764170252011</v>
      </c>
      <c r="F802" s="1100">
        <v>0.99845230592570511</v>
      </c>
      <c r="G802" s="1100">
        <v>1.0244324111657583</v>
      </c>
      <c r="H802" s="1100">
        <v>0.9712433193460096</v>
      </c>
      <c r="I802" s="1100">
        <v>1.0022476519839127</v>
      </c>
      <c r="K802">
        <v>1.1504895855644477</v>
      </c>
      <c r="L802">
        <v>0</v>
      </c>
      <c r="M802">
        <v>7.9828124023344996E-4</v>
      </c>
      <c r="N802">
        <v>7.3805042775428167E-2</v>
      </c>
      <c r="O802">
        <v>1.0657895166703735E-2</v>
      </c>
      <c r="P802">
        <v>1.3569569933408479E-2</v>
      </c>
      <c r="Q802">
        <v>4.6353338676063591E-4</v>
      </c>
      <c r="R802">
        <v>7.9646089627507805E-4</v>
      </c>
      <c r="S802">
        <v>7.3877343862056757E-2</v>
      </c>
      <c r="T802">
        <v>0.82624805378596333</v>
      </c>
      <c r="U802">
        <v>0</v>
      </c>
      <c r="V802">
        <v>9.4023360819932941E-2</v>
      </c>
      <c r="W802">
        <v>4.8439518162767016E-2</v>
      </c>
      <c r="X802">
        <v>7.23938400898878E-3</v>
      </c>
      <c r="Y802">
        <v>2.1677040063968682E-3</v>
      </c>
    </row>
    <row r="803" spans="1:25" x14ac:dyDescent="0.25">
      <c r="A803" s="1096"/>
      <c r="B803" s="1455">
        <v>553</v>
      </c>
      <c r="C803" s="1100">
        <v>0.97580033640627839</v>
      </c>
      <c r="D803" s="1100">
        <v>0.99388832669386062</v>
      </c>
      <c r="E803" s="1100">
        <v>0.98353727251687129</v>
      </c>
      <c r="F803" s="1100">
        <v>0.99069642080883757</v>
      </c>
      <c r="G803" s="1100">
        <v>0.97888652900661499</v>
      </c>
      <c r="H803" s="1100">
        <v>0.96814752284138939</v>
      </c>
      <c r="I803" s="1100">
        <v>0.9941983475813756</v>
      </c>
      <c r="K803">
        <v>1.1394296068436305</v>
      </c>
      <c r="L803">
        <v>0</v>
      </c>
      <c r="M803">
        <v>8.2407134137445096E-4</v>
      </c>
      <c r="N803">
        <v>7.2145573318117773E-2</v>
      </c>
      <c r="O803">
        <v>1.0626432150430229E-2</v>
      </c>
      <c r="P803">
        <v>1.327638451762409E-2</v>
      </c>
      <c r="Q803">
        <v>4.5382622033806122E-4</v>
      </c>
      <c r="R803">
        <v>8.2218617862185291E-4</v>
      </c>
      <c r="S803">
        <v>7.3130453734501458E-2</v>
      </c>
      <c r="T803">
        <v>0.8210173081548604</v>
      </c>
      <c r="U803">
        <v>0</v>
      </c>
      <c r="V803">
        <v>9.1804870819057138E-2</v>
      </c>
      <c r="W803">
        <v>4.7863809243639921E-2</v>
      </c>
      <c r="X803">
        <v>6.8751141032043607E-3</v>
      </c>
      <c r="Y803">
        <v>2.2377197446077435E-3</v>
      </c>
    </row>
    <row r="804" spans="1:25" x14ac:dyDescent="0.25">
      <c r="A804" s="1096"/>
      <c r="B804" s="1455">
        <v>554</v>
      </c>
      <c r="C804" s="1100">
        <v>1.0181530487316954</v>
      </c>
      <c r="D804" s="1100">
        <v>1.0154514157724526</v>
      </c>
      <c r="E804" s="1100">
        <v>0.9818725677657173</v>
      </c>
      <c r="F804" s="1100">
        <v>0.98658217630947553</v>
      </c>
      <c r="G804" s="1100">
        <v>0.98547208984301482</v>
      </c>
      <c r="H804" s="1100">
        <v>0.98218850491100984</v>
      </c>
      <c r="I804" s="1100">
        <v>0.96306118265370666</v>
      </c>
      <c r="K804">
        <v>1.1244978330537798</v>
      </c>
      <c r="L804">
        <v>0</v>
      </c>
      <c r="M804">
        <v>7.9713703834476525E-4</v>
      </c>
      <c r="N804">
        <v>6.9439257617999101E-2</v>
      </c>
      <c r="O804">
        <v>1.0096804185325608E-2</v>
      </c>
      <c r="P804">
        <v>1.3131473187929654E-2</v>
      </c>
      <c r="Q804">
        <v>4.3047934843290758E-4</v>
      </c>
      <c r="R804">
        <v>7.9533955978188452E-4</v>
      </c>
      <c r="S804">
        <v>6.7681657648282434E-2</v>
      </c>
      <c r="T804">
        <v>0.81771737285666624</v>
      </c>
      <c r="U804">
        <v>0</v>
      </c>
      <c r="V804">
        <v>9.1030071117709555E-2</v>
      </c>
      <c r="W804">
        <v>4.6114579400797037E-2</v>
      </c>
      <c r="X804">
        <v>6.6932830710891246E-3</v>
      </c>
      <c r="Y804">
        <v>2.1646520981108705E-3</v>
      </c>
    </row>
    <row r="805" spans="1:25" x14ac:dyDescent="0.25">
      <c r="A805" s="1096"/>
      <c r="B805" s="1455">
        <v>555</v>
      </c>
      <c r="C805" s="1100">
        <v>1.0060678895210653</v>
      </c>
      <c r="D805" s="1100">
        <v>0.98630617396238274</v>
      </c>
      <c r="E805" s="1100">
        <v>0.99515425694137694</v>
      </c>
      <c r="F805" s="1100">
        <v>0.9697849800345808</v>
      </c>
      <c r="G805" s="1100">
        <v>1.0114335021489054</v>
      </c>
      <c r="H805" s="1100">
        <v>1.036824850886966</v>
      </c>
      <c r="I805" s="1100">
        <v>0.96687851179919049</v>
      </c>
      <c r="K805">
        <v>1.1265979188040771</v>
      </c>
      <c r="L805">
        <v>0</v>
      </c>
      <c r="M805">
        <v>8.38194565140099E-4</v>
      </c>
      <c r="N805">
        <v>7.6016911892190064E-2</v>
      </c>
      <c r="O805">
        <v>1.0342149807211935E-2</v>
      </c>
      <c r="P805">
        <v>1.3140375910271571E-2</v>
      </c>
      <c r="Q805">
        <v>4.4690406619429508E-4</v>
      </c>
      <c r="R805">
        <v>8.3640410350155911E-4</v>
      </c>
      <c r="S805">
        <v>7.1966946610983781E-2</v>
      </c>
      <c r="T805">
        <v>0.80293767604100152</v>
      </c>
      <c r="U805">
        <v>0</v>
      </c>
      <c r="V805">
        <v>9.2434349041017425E-2</v>
      </c>
      <c r="W805">
        <v>5.0082250692261437E-2</v>
      </c>
      <c r="X805">
        <v>6.955728955391296E-3</v>
      </c>
      <c r="Y805">
        <v>2.2764162491926265E-3</v>
      </c>
    </row>
    <row r="806" spans="1:25" x14ac:dyDescent="0.25">
      <c r="A806" s="1096"/>
      <c r="B806" s="1455">
        <v>556</v>
      </c>
      <c r="C806" s="1100">
        <v>1.0159356721515649</v>
      </c>
      <c r="D806" s="1100">
        <v>0.98196869465072667</v>
      </c>
      <c r="E806" s="1100">
        <v>0.99624563945691569</v>
      </c>
      <c r="F806" s="1100">
        <v>1.0410700846903735</v>
      </c>
      <c r="G806" s="1100">
        <v>1.0031858466659045</v>
      </c>
      <c r="H806" s="1100">
        <v>0.99496665248897187</v>
      </c>
      <c r="I806" s="1100">
        <v>1.0103566266270261</v>
      </c>
      <c r="K806">
        <v>1.1808274802594854</v>
      </c>
      <c r="L806">
        <v>0</v>
      </c>
      <c r="M806">
        <v>7.9614498668182862E-4</v>
      </c>
      <c r="N806">
        <v>7.2435403891238065E-2</v>
      </c>
      <c r="O806">
        <v>1.0260122069190357E-2</v>
      </c>
      <c r="P806">
        <v>1.3957495719053283E-2</v>
      </c>
      <c r="Q806">
        <v>4.4384729946635176E-4</v>
      </c>
      <c r="R806">
        <v>7.943728010240829E-4</v>
      </c>
      <c r="S806">
        <v>7.2936200985521449E-2</v>
      </c>
      <c r="T806">
        <v>0.86188310686010694</v>
      </c>
      <c r="U806">
        <v>0</v>
      </c>
      <c r="V806">
        <v>9.1842613552643962E-2</v>
      </c>
      <c r="W806">
        <v>4.7691593543645008E-2</v>
      </c>
      <c r="X806">
        <v>7.2168476248121033E-3</v>
      </c>
      <c r="Y806">
        <v>2.1620208994640737E-3</v>
      </c>
    </row>
    <row r="807" spans="1:25" x14ac:dyDescent="0.25">
      <c r="A807" s="1096"/>
      <c r="B807" s="1455">
        <v>557</v>
      </c>
      <c r="C807" s="1100">
        <v>1.0012565732972374</v>
      </c>
      <c r="D807" s="1100">
        <v>1.0070091031669139</v>
      </c>
      <c r="E807" s="1100">
        <v>1.0217327226784749</v>
      </c>
      <c r="F807" s="1100">
        <v>0.99585885085828929</v>
      </c>
      <c r="G807" s="1100">
        <v>0.97930469371245421</v>
      </c>
      <c r="H807" s="1100">
        <v>1.0300018458824385</v>
      </c>
      <c r="I807" s="1100">
        <v>0.99348038665465721</v>
      </c>
      <c r="K807">
        <v>1.1485447697461766</v>
      </c>
      <c r="L807">
        <v>0</v>
      </c>
      <c r="M807">
        <v>7.8519252362844517E-4</v>
      </c>
      <c r="N807">
        <v>7.715912718465627E-2</v>
      </c>
      <c r="O807">
        <v>1.0314531315920429E-2</v>
      </c>
      <c r="P807">
        <v>1.3677471499609298E-2</v>
      </c>
      <c r="Q807">
        <v>4.5772197880798336E-4</v>
      </c>
      <c r="R807">
        <v>7.83504168775077E-4</v>
      </c>
      <c r="S807">
        <v>7.3274347421987462E-2</v>
      </c>
      <c r="T807">
        <v>0.8227805578130597</v>
      </c>
      <c r="U807">
        <v>0</v>
      </c>
      <c r="V807">
        <v>9.1183484545699842E-2</v>
      </c>
      <c r="W807">
        <v>5.0043289508257309E-2</v>
      </c>
      <c r="X807">
        <v>7.5234867677048739E-3</v>
      </c>
      <c r="Y807">
        <v>2.132440065325938E-3</v>
      </c>
    </row>
    <row r="808" spans="1:25" x14ac:dyDescent="0.25">
      <c r="A808" s="1096"/>
      <c r="B808" s="1455">
        <v>558</v>
      </c>
      <c r="C808" s="1100">
        <v>0.99682079051890338</v>
      </c>
      <c r="D808" s="1100">
        <v>1.0294120714794106</v>
      </c>
      <c r="E808" s="1100">
        <v>1.0185076767815322</v>
      </c>
      <c r="F808" s="1100">
        <v>0.97536871854634033</v>
      </c>
      <c r="G808" s="1100">
        <v>1.0188988058987376</v>
      </c>
      <c r="H808" s="1100">
        <v>0.98301826975350493</v>
      </c>
      <c r="I808" s="1100">
        <v>1.0229751706110186</v>
      </c>
      <c r="K808">
        <v>1.1261625199736554</v>
      </c>
      <c r="L808">
        <v>0</v>
      </c>
      <c r="M808">
        <v>7.5113839325589957E-4</v>
      </c>
      <c r="N808">
        <v>7.3090519806826973E-2</v>
      </c>
      <c r="O808">
        <v>1.0268595452935757E-2</v>
      </c>
      <c r="P808">
        <v>1.3435110391594052E-2</v>
      </c>
      <c r="Q808">
        <v>4.5422495107614642E-4</v>
      </c>
      <c r="R808">
        <v>7.4944606755783332E-4</v>
      </c>
      <c r="S808">
        <v>7.2994687445181228E-2</v>
      </c>
      <c r="T808">
        <v>0.80605777319043881</v>
      </c>
      <c r="U808">
        <v>0</v>
      </c>
      <c r="V808">
        <v>9.2985395373835225E-2</v>
      </c>
      <c r="W808">
        <v>4.7494022473155144E-2</v>
      </c>
      <c r="X808">
        <v>7.3441380732467984E-3</v>
      </c>
      <c r="Y808">
        <v>2.0397451410626493E-3</v>
      </c>
    </row>
    <row r="809" spans="1:25" x14ac:dyDescent="0.25">
      <c r="A809" s="1096"/>
      <c r="B809" s="1455">
        <v>559</v>
      </c>
      <c r="C809" s="1100">
        <v>0.99068263032920811</v>
      </c>
      <c r="D809" s="1100">
        <v>0.97134581613377702</v>
      </c>
      <c r="E809" s="1100">
        <v>0.99533029621146485</v>
      </c>
      <c r="F809" s="1100">
        <v>0.96305512402567728</v>
      </c>
      <c r="G809" s="1100">
        <v>1.0313490236701739</v>
      </c>
      <c r="H809" s="1100">
        <v>1.0080091230133887</v>
      </c>
      <c r="I809" s="1100">
        <v>0.99649418988154237</v>
      </c>
      <c r="K809">
        <v>1.1244082765266055</v>
      </c>
      <c r="L809">
        <v>0</v>
      </c>
      <c r="M809">
        <v>8.3232574188940817E-4</v>
      </c>
      <c r="N809">
        <v>7.55202106901815E-2</v>
      </c>
      <c r="O809">
        <v>1.0567229295794222E-2</v>
      </c>
      <c r="P809">
        <v>1.3120514745751474E-2</v>
      </c>
      <c r="Q809">
        <v>4.5671120276915466E-4</v>
      </c>
      <c r="R809">
        <v>8.3049699145743895E-4</v>
      </c>
      <c r="S809">
        <v>7.4721812934860063E-2</v>
      </c>
      <c r="T809">
        <v>0.79735441242124716</v>
      </c>
      <c r="U809">
        <v>0</v>
      </c>
      <c r="V809">
        <v>9.3668413557474434E-2</v>
      </c>
      <c r="W809">
        <v>4.9749783754701404E-2</v>
      </c>
      <c r="X809">
        <v>6.9906776367692179E-3</v>
      </c>
      <c r="Y809">
        <v>2.2603390374874937E-3</v>
      </c>
    </row>
    <row r="810" spans="1:25" x14ac:dyDescent="0.25">
      <c r="A810" s="1096"/>
      <c r="B810" s="1455">
        <v>560</v>
      </c>
      <c r="C810" s="1100">
        <v>1.0206287629341046</v>
      </c>
      <c r="D810" s="1100">
        <v>1.046386668486277</v>
      </c>
      <c r="E810" s="1100">
        <v>1.0383263816155091</v>
      </c>
      <c r="F810" s="1100">
        <v>0.98145204246104134</v>
      </c>
      <c r="G810" s="1100">
        <v>0.97539701380406985</v>
      </c>
      <c r="H810" s="1100">
        <v>1.0105310198979804</v>
      </c>
      <c r="I810" s="1100">
        <v>1.0219649275416898</v>
      </c>
      <c r="K810">
        <v>1.1277284047299889</v>
      </c>
      <c r="L810">
        <v>0</v>
      </c>
      <c r="M810">
        <v>7.1892732967681131E-4</v>
      </c>
      <c r="N810">
        <v>7.4268164525054733E-2</v>
      </c>
      <c r="O810">
        <v>9.9699338816452016E-3</v>
      </c>
      <c r="P810">
        <v>1.3631447118942585E-2</v>
      </c>
      <c r="Q810">
        <v>4.4974829864315104E-4</v>
      </c>
      <c r="R810">
        <v>7.1735167543893674E-4</v>
      </c>
      <c r="S810">
        <v>7.1749985623772661E-2</v>
      </c>
      <c r="T810">
        <v>0.80981527189002456</v>
      </c>
      <c r="U810">
        <v>0</v>
      </c>
      <c r="V810">
        <v>9.0549495578046521E-2</v>
      </c>
      <c r="W810">
        <v>4.770655715217316E-2</v>
      </c>
      <c r="X810">
        <v>7.6369815302945697E-3</v>
      </c>
      <c r="Y810">
        <v>1.9523947856285319E-3</v>
      </c>
    </row>
    <row r="811" spans="1:25" x14ac:dyDescent="0.25">
      <c r="A811" s="1096"/>
      <c r="B811" s="1455">
        <v>561</v>
      </c>
      <c r="C811" s="1100">
        <v>1.0077628207272784</v>
      </c>
      <c r="D811" s="1100">
        <v>0.9812352695521781</v>
      </c>
      <c r="E811" s="1100">
        <v>1.0117756247725747</v>
      </c>
      <c r="F811" s="1100">
        <v>0.96452677147630006</v>
      </c>
      <c r="G811" s="1100">
        <v>1.0212040750753901</v>
      </c>
      <c r="H811" s="1100">
        <v>1.0310404118862406</v>
      </c>
      <c r="I811" s="1100">
        <v>0.99014205096675689</v>
      </c>
      <c r="K811">
        <v>1.1243133638758873</v>
      </c>
      <c r="L811">
        <v>0</v>
      </c>
      <c r="M811">
        <v>8.0556020613607694E-4</v>
      </c>
      <c r="N811">
        <v>7.6817730888281116E-2</v>
      </c>
      <c r="O811">
        <v>1.0351507682790986E-2</v>
      </c>
      <c r="P811">
        <v>1.3256643281776776E-2</v>
      </c>
      <c r="Q811">
        <v>4.5483008999730928E-4</v>
      </c>
      <c r="R811">
        <v>8.038298006060432E-4</v>
      </c>
      <c r="S811">
        <v>7.3555552308167502E-2</v>
      </c>
      <c r="T811">
        <v>0.79752454084607305</v>
      </c>
      <c r="U811">
        <v>0</v>
      </c>
      <c r="V811">
        <v>9.2812926089811676E-2</v>
      </c>
      <c r="W811">
        <v>5.0113697301264484E-2</v>
      </c>
      <c r="X811">
        <v>7.239906058427838E-3</v>
      </c>
      <c r="Y811">
        <v>2.1877597348270946E-3</v>
      </c>
    </row>
    <row r="812" spans="1:25" x14ac:dyDescent="0.25">
      <c r="A812" s="1096"/>
      <c r="B812" s="1455">
        <v>562</v>
      </c>
      <c r="C812" s="1100">
        <v>0.96756427093506958</v>
      </c>
      <c r="D812" s="1100">
        <v>0.98283666019433502</v>
      </c>
      <c r="E812" s="1100">
        <v>0.9654354951368278</v>
      </c>
      <c r="F812" s="1100">
        <v>0.9984817487309281</v>
      </c>
      <c r="G812" s="1100">
        <v>0.97455386246745201</v>
      </c>
      <c r="H812" s="1100">
        <v>0.98514209101722994</v>
      </c>
      <c r="I812" s="1100">
        <v>0.98316590313460805</v>
      </c>
      <c r="K812">
        <v>1.150109429030743</v>
      </c>
      <c r="L812">
        <v>0</v>
      </c>
      <c r="M812">
        <v>8.8183488774839223E-4</v>
      </c>
      <c r="N812">
        <v>7.3089239807724665E-2</v>
      </c>
      <c r="O812">
        <v>1.0758787158588566E-2</v>
      </c>
      <c r="P812">
        <v>1.3208210375685637E-2</v>
      </c>
      <c r="Q812">
        <v>4.5107669808597294E-4</v>
      </c>
      <c r="R812">
        <v>8.7985238417172837E-4</v>
      </c>
      <c r="S812">
        <v>7.4042031746139006E-2</v>
      </c>
      <c r="T812">
        <v>0.82868074774627953</v>
      </c>
      <c r="U812">
        <v>0</v>
      </c>
      <c r="V812">
        <v>9.1832838116376866E-2</v>
      </c>
      <c r="W812">
        <v>4.9025138233485456E-2</v>
      </c>
      <c r="X812">
        <v>6.6286735054999213E-3</v>
      </c>
      <c r="Y812">
        <v>2.3946681464549532E-3</v>
      </c>
    </row>
    <row r="813" spans="1:25" x14ac:dyDescent="0.25">
      <c r="A813" s="1096"/>
      <c r="B813" s="1455">
        <v>563</v>
      </c>
      <c r="C813" s="1100">
        <v>1.0008580047026661</v>
      </c>
      <c r="D813" s="1100">
        <v>1.0162440104137946</v>
      </c>
      <c r="E813" s="1100">
        <v>1.0005614349940397</v>
      </c>
      <c r="F813" s="1100">
        <v>0.98632917470544679</v>
      </c>
      <c r="G813" s="1100">
        <v>1.0054508997640563</v>
      </c>
      <c r="H813" s="1100">
        <v>0.99952929934163148</v>
      </c>
      <c r="I813" s="1100">
        <v>1.0252964437444605</v>
      </c>
      <c r="K813">
        <v>1.1371662141455685</v>
      </c>
      <c r="L813">
        <v>0</v>
      </c>
      <c r="M813">
        <v>7.9364412758347615E-4</v>
      </c>
      <c r="N813">
        <v>7.3156405486381595E-2</v>
      </c>
      <c r="O813">
        <v>1.0274137950709371E-2</v>
      </c>
      <c r="P813">
        <v>1.3401802285105379E-2</v>
      </c>
      <c r="Q813">
        <v>4.4638762554865115E-4</v>
      </c>
      <c r="R813">
        <v>7.9188557298794614E-4</v>
      </c>
      <c r="S813">
        <v>7.4011276078393501E-2</v>
      </c>
      <c r="T813">
        <v>0.81628205671060639</v>
      </c>
      <c r="U813">
        <v>0</v>
      </c>
      <c r="V813">
        <v>9.2307549158623201E-2</v>
      </c>
      <c r="W813">
        <v>4.8042754970584835E-2</v>
      </c>
      <c r="X813">
        <v>7.0903509495473969E-3</v>
      </c>
      <c r="Y813">
        <v>2.1552514846642115E-3</v>
      </c>
    </row>
    <row r="814" spans="1:25" x14ac:dyDescent="0.25">
      <c r="A814" s="1096"/>
      <c r="B814" s="1455">
        <v>564</v>
      </c>
      <c r="C814" s="1100">
        <v>0.97183813430038846</v>
      </c>
      <c r="D814" s="1100">
        <v>0.96509088072685545</v>
      </c>
      <c r="E814" s="1100">
        <v>1.001470046007882</v>
      </c>
      <c r="F814" s="1100">
        <v>0.99910210314189096</v>
      </c>
      <c r="G814" s="1100">
        <v>0.97961522366540565</v>
      </c>
      <c r="H814" s="1100">
        <v>1.0293979615736215</v>
      </c>
      <c r="I814" s="1100">
        <v>1.0226877073750926</v>
      </c>
      <c r="K814">
        <v>1.1639737520242119</v>
      </c>
      <c r="L814">
        <v>0</v>
      </c>
      <c r="M814">
        <v>8.5771966442296148E-4</v>
      </c>
      <c r="N814">
        <v>7.9285176701743135E-2</v>
      </c>
      <c r="O814">
        <v>1.0802103125483655E-2</v>
      </c>
      <c r="P814">
        <v>1.3622539452813312E-2</v>
      </c>
      <c r="Q814">
        <v>4.6975509466108499E-4</v>
      </c>
      <c r="R814">
        <v>8.5587427664065858E-4</v>
      </c>
      <c r="S814">
        <v>7.9369365198766834E-2</v>
      </c>
      <c r="T814">
        <v>0.82679281040665997</v>
      </c>
      <c r="U814">
        <v>0</v>
      </c>
      <c r="V814">
        <v>9.194256779528813E-2</v>
      </c>
      <c r="W814">
        <v>5.2039510191426691E-2</v>
      </c>
      <c r="X814">
        <v>7.3223618030140705E-3</v>
      </c>
      <c r="Y814">
        <v>2.3294076421364034E-3</v>
      </c>
    </row>
    <row r="815" spans="1:25" x14ac:dyDescent="0.25">
      <c r="A815" s="1096"/>
      <c r="B815" s="1455">
        <v>565</v>
      </c>
      <c r="C815" s="1100">
        <v>1.0249607772766023</v>
      </c>
      <c r="D815" s="1100">
        <v>0.97837640807516235</v>
      </c>
      <c r="E815" s="1100">
        <v>1.0165484764216153</v>
      </c>
      <c r="F815" s="1100">
        <v>0.99282766372487175</v>
      </c>
      <c r="G815" s="1100">
        <v>1.0191457658161958</v>
      </c>
      <c r="H815" s="1100">
        <v>0.97363827665225222</v>
      </c>
      <c r="I815" s="1100">
        <v>1.0274128418929216</v>
      </c>
      <c r="K815">
        <v>1.1377071315713074</v>
      </c>
      <c r="L815">
        <v>0</v>
      </c>
      <c r="M815">
        <v>7.4142782033802311E-4</v>
      </c>
      <c r="N815">
        <v>7.1718824657782509E-2</v>
      </c>
      <c r="O815">
        <v>1.0191244784606441E-2</v>
      </c>
      <c r="P815">
        <v>1.3604645788547441E-2</v>
      </c>
      <c r="Q815">
        <v>4.4992501108944783E-4</v>
      </c>
      <c r="R815">
        <v>7.3974127967439142E-4</v>
      </c>
      <c r="S815">
        <v>7.2799540774515184E-2</v>
      </c>
      <c r="T815">
        <v>0.82061375261145775</v>
      </c>
      <c r="U815">
        <v>0</v>
      </c>
      <c r="V815">
        <v>9.2312893106705277E-2</v>
      </c>
      <c r="W815">
        <v>4.6656251070941651E-2</v>
      </c>
      <c r="X815">
        <v>7.3484083986991499E-3</v>
      </c>
      <c r="Y815">
        <v>2.013331907626387E-3</v>
      </c>
    </row>
    <row r="816" spans="1:25" x14ac:dyDescent="0.25">
      <c r="A816" s="1096"/>
      <c r="B816" s="1455">
        <v>566</v>
      </c>
      <c r="C816" s="1100">
        <v>1.0137851037387329</v>
      </c>
      <c r="D816" s="1100">
        <v>1.0020416099216112</v>
      </c>
      <c r="E816" s="1100">
        <v>1.0190021405192553</v>
      </c>
      <c r="F816" s="1100">
        <v>0.98409422992244</v>
      </c>
      <c r="G816" s="1100">
        <v>1.0029765376749522</v>
      </c>
      <c r="H816" s="1100">
        <v>1.0022056215879585</v>
      </c>
      <c r="I816" s="1100">
        <v>1.0176010870319492</v>
      </c>
      <c r="K816">
        <v>1.1341689629120386</v>
      </c>
      <c r="L816">
        <v>0</v>
      </c>
      <c r="M816">
        <v>7.603631556727347E-4</v>
      </c>
      <c r="N816">
        <v>7.4101810826408931E-2</v>
      </c>
      <c r="O816">
        <v>1.0206349440423007E-2</v>
      </c>
      <c r="P816">
        <v>1.3526564747579536E-2</v>
      </c>
      <c r="Q816">
        <v>4.5169367315047717E-4</v>
      </c>
      <c r="R816">
        <v>7.5868284414117677E-4</v>
      </c>
      <c r="S816">
        <v>7.3175720570617928E-2</v>
      </c>
      <c r="T816">
        <v>0.81323673322577117</v>
      </c>
      <c r="U816">
        <v>0</v>
      </c>
      <c r="V816">
        <v>9.1888777965692045E-2</v>
      </c>
      <c r="W816">
        <v>4.813721549203287E-2</v>
      </c>
      <c r="X816">
        <v>7.380892679873784E-3</v>
      </c>
      <c r="Y816">
        <v>2.0648846020199277E-3</v>
      </c>
    </row>
    <row r="817" spans="1:25" x14ac:dyDescent="0.25">
      <c r="A817" s="1096"/>
      <c r="B817" s="1455">
        <v>567</v>
      </c>
      <c r="C817" s="1100">
        <v>0.99826525649181441</v>
      </c>
      <c r="D817" s="1100">
        <v>1.0084272923080027</v>
      </c>
      <c r="E817" s="1100">
        <v>0.99682274069443699</v>
      </c>
      <c r="F817" s="1100">
        <v>1.0017288923819017</v>
      </c>
      <c r="G817" s="1100">
        <v>1.0183656721724983</v>
      </c>
      <c r="H817" s="1100">
        <v>0.97410825363869447</v>
      </c>
      <c r="I817" s="1100">
        <v>1.0085368430376733</v>
      </c>
      <c r="K817">
        <v>1.1464131977672292</v>
      </c>
      <c r="L817">
        <v>0</v>
      </c>
      <c r="M817">
        <v>7.8392177839954104E-4</v>
      </c>
      <c r="N817">
        <v>7.1444386300678772E-2</v>
      </c>
      <c r="O817">
        <v>1.0331465383725617E-2</v>
      </c>
      <c r="P817">
        <v>1.3525268279393739E-2</v>
      </c>
      <c r="Q817">
        <v>4.4719340774424383E-4</v>
      </c>
      <c r="R817">
        <v>7.8213943622107071E-4</v>
      </c>
      <c r="S817">
        <v>7.2234561456737567E-2</v>
      </c>
      <c r="T817">
        <v>0.82927490701135997</v>
      </c>
      <c r="U817">
        <v>0</v>
      </c>
      <c r="V817">
        <v>9.2923493194601733E-2</v>
      </c>
      <c r="W817">
        <v>4.7022930140216961E-2</v>
      </c>
      <c r="X817">
        <v>7.0820492217510429E-3</v>
      </c>
      <c r="Y817">
        <v>2.1287257131978985E-3</v>
      </c>
    </row>
    <row r="818" spans="1:25" x14ac:dyDescent="0.25">
      <c r="A818" s="1096"/>
      <c r="B818" s="1455">
        <v>568</v>
      </c>
      <c r="C818" s="1100">
        <v>0.99885432148365116</v>
      </c>
      <c r="D818" s="1100">
        <v>0.9855488595997578</v>
      </c>
      <c r="E818" s="1100">
        <v>1.015023771568867</v>
      </c>
      <c r="F818" s="1100">
        <v>0.99316018823908581</v>
      </c>
      <c r="G818" s="1100">
        <v>0.99152047612887195</v>
      </c>
      <c r="H818" s="1100">
        <v>0.98955276942197345</v>
      </c>
      <c r="I818" s="1100">
        <v>1.0252550686430928</v>
      </c>
      <c r="K818">
        <v>1.1446543071506696</v>
      </c>
      <c r="L818">
        <v>0</v>
      </c>
      <c r="M818">
        <v>7.7343405823984907E-4</v>
      </c>
      <c r="N818">
        <v>7.447409903070526E-2</v>
      </c>
      <c r="O818">
        <v>1.0426594160751469E-2</v>
      </c>
      <c r="P818">
        <v>1.3616396390568235E-2</v>
      </c>
      <c r="Q818">
        <v>4.5961643495230766E-4</v>
      </c>
      <c r="R818">
        <v>7.7170300704665763E-4</v>
      </c>
      <c r="S818">
        <v>7.4931981352563404E-2</v>
      </c>
      <c r="T818">
        <v>0.82098807580270128</v>
      </c>
      <c r="U818">
        <v>0</v>
      </c>
      <c r="V818">
        <v>9.1763989687556211E-2</v>
      </c>
      <c r="W818">
        <v>4.8492059020612842E-2</v>
      </c>
      <c r="X818">
        <v>7.4029051280979224E-3</v>
      </c>
      <c r="Y818">
        <v>2.1003211933530983E-3</v>
      </c>
    </row>
    <row r="819" spans="1:25" x14ac:dyDescent="0.25">
      <c r="A819" s="1096"/>
      <c r="B819" s="1455">
        <v>569</v>
      </c>
      <c r="C819" s="1100">
        <v>1.0173534500341395</v>
      </c>
      <c r="D819" s="1100">
        <v>0.95911768060295388</v>
      </c>
      <c r="E819" s="1100">
        <v>1.0144510115570811</v>
      </c>
      <c r="F819" s="1100">
        <v>0.9896630140353877</v>
      </c>
      <c r="G819" s="1100">
        <v>1.0084264713133482</v>
      </c>
      <c r="H819" s="1100">
        <v>0.97603775672620852</v>
      </c>
      <c r="I819" s="1100">
        <v>1.0074297328119328</v>
      </c>
      <c r="K819">
        <v>1.1370021260220631</v>
      </c>
      <c r="L819">
        <v>0</v>
      </c>
      <c r="M819">
        <v>7.5809021881602238E-4</v>
      </c>
      <c r="N819">
        <v>7.2868304582859617E-2</v>
      </c>
      <c r="O819">
        <v>1.0348737822704511E-2</v>
      </c>
      <c r="P819">
        <v>1.354503670775138E-2</v>
      </c>
      <c r="Q819">
        <v>4.559240029161818E-4</v>
      </c>
      <c r="R819">
        <v>7.5637001521281454E-4</v>
      </c>
      <c r="S819">
        <v>7.2754622381624195E-2</v>
      </c>
      <c r="T819">
        <v>0.81813442097992994</v>
      </c>
      <c r="U819">
        <v>0</v>
      </c>
      <c r="V819">
        <v>9.2035259736326827E-2</v>
      </c>
      <c r="W819">
        <v>4.746245143775258E-2</v>
      </c>
      <c r="X819">
        <v>7.3404987297003036E-3</v>
      </c>
      <c r="Y819">
        <v>2.0585898441007771E-3</v>
      </c>
    </row>
    <row r="820" spans="1:25" x14ac:dyDescent="0.25">
      <c r="A820" s="1096"/>
      <c r="B820" s="1455">
        <v>570</v>
      </c>
      <c r="C820" s="1100">
        <v>1.0290229821282513</v>
      </c>
      <c r="D820" s="1100">
        <v>0.96087566737290031</v>
      </c>
      <c r="E820" s="1100">
        <v>0.97503991202013252</v>
      </c>
      <c r="F820" s="1100">
        <v>1.0196081202378162</v>
      </c>
      <c r="G820" s="1100">
        <v>0.95823715683485955</v>
      </c>
      <c r="H820" s="1100">
        <v>1.0094038284535867</v>
      </c>
      <c r="I820" s="1100">
        <v>0.97888534247156278</v>
      </c>
      <c r="K820">
        <v>1.1589349276343732</v>
      </c>
      <c r="L820">
        <v>0</v>
      </c>
      <c r="M820">
        <v>8.404700858170689E-4</v>
      </c>
      <c r="N820">
        <v>7.1720199033930759E-2</v>
      </c>
      <c r="O820">
        <v>1.021116100376666E-2</v>
      </c>
      <c r="P820">
        <v>1.3462340519714828E-2</v>
      </c>
      <c r="Q820">
        <v>4.3233945744538442E-4</v>
      </c>
      <c r="R820">
        <v>8.3862599251326587E-4</v>
      </c>
      <c r="S820">
        <v>7.1092739857700538E-2</v>
      </c>
      <c r="T820">
        <v>0.8455566308063438</v>
      </c>
      <c r="U820">
        <v>0</v>
      </c>
      <c r="V820">
        <v>8.9607304779757257E-2</v>
      </c>
      <c r="W820">
        <v>4.782650464424569E-2</v>
      </c>
      <c r="X820">
        <v>6.7450881261353433E-3</v>
      </c>
      <c r="Y820">
        <v>2.2824634986369761E-3</v>
      </c>
    </row>
    <row r="821" spans="1:25" x14ac:dyDescent="0.25">
      <c r="A821" s="1096"/>
      <c r="B821" s="1455">
        <v>571</v>
      </c>
      <c r="C821" s="1100">
        <v>0.95828699137408246</v>
      </c>
      <c r="D821" s="1100">
        <v>1.0129552724468425</v>
      </c>
      <c r="E821" s="1100">
        <v>1.0037661255016963</v>
      </c>
      <c r="F821" s="1100">
        <v>1.0149442151096357</v>
      </c>
      <c r="G821" s="1100">
        <v>1.0255898548006979</v>
      </c>
      <c r="H821" s="1100">
        <v>1.0050012836720321</v>
      </c>
      <c r="I821" s="1100">
        <v>1.0060395309434171</v>
      </c>
      <c r="K821">
        <v>1.1726313564832522</v>
      </c>
      <c r="L821">
        <v>0</v>
      </c>
      <c r="M821">
        <v>8.2898928212636982E-4</v>
      </c>
      <c r="N821">
        <v>7.7158702387360403E-2</v>
      </c>
      <c r="O821">
        <v>1.0745568235860824E-2</v>
      </c>
      <c r="P821">
        <v>1.3811553609978815E-2</v>
      </c>
      <c r="Q821">
        <v>4.6837472877550861E-4</v>
      </c>
      <c r="R821">
        <v>8.2716241114625538E-4</v>
      </c>
      <c r="S821">
        <v>7.6210017354155737E-2</v>
      </c>
      <c r="T821">
        <v>0.83974864059633336</v>
      </c>
      <c r="U821">
        <v>0</v>
      </c>
      <c r="V821">
        <v>9.4269057739486559E-2</v>
      </c>
      <c r="W821">
        <v>5.0574858274076311E-2</v>
      </c>
      <c r="X821">
        <v>7.3951470190788439E-3</v>
      </c>
      <c r="Y821">
        <v>2.2512634091245557E-3</v>
      </c>
    </row>
    <row r="822" spans="1:25" x14ac:dyDescent="0.25">
      <c r="A822" s="1096"/>
      <c r="B822" s="1455">
        <v>572</v>
      </c>
      <c r="C822" s="1100">
        <v>1.0302429469117278</v>
      </c>
      <c r="D822" s="1100">
        <v>1.0080910958132117</v>
      </c>
      <c r="E822" s="1100">
        <v>0.97830944632283057</v>
      </c>
      <c r="F822" s="1100">
        <v>0.96824956223054404</v>
      </c>
      <c r="G822" s="1100">
        <v>1.0391924910625137</v>
      </c>
      <c r="H822" s="1100">
        <v>1.0113926876736259</v>
      </c>
      <c r="I822" s="1100">
        <v>1.0164075930268168</v>
      </c>
      <c r="K822">
        <v>1.117675399117138</v>
      </c>
      <c r="L822">
        <v>0</v>
      </c>
      <c r="M822">
        <v>8.1958677805052838E-4</v>
      </c>
      <c r="N822">
        <v>7.0633927646894634E-2</v>
      </c>
      <c r="O822">
        <v>1.0006271566643537E-2</v>
      </c>
      <c r="P822">
        <v>1.2980532620565161E-2</v>
      </c>
      <c r="Q822">
        <v>4.2507731988211385E-4</v>
      </c>
      <c r="R822">
        <v>8.1779204148110156E-4</v>
      </c>
      <c r="S822">
        <v>7.2020947619581402E-2</v>
      </c>
      <c r="T822">
        <v>0.80275322382425585</v>
      </c>
      <c r="U822">
        <v>0</v>
      </c>
      <c r="V822">
        <v>9.3041527885654479E-2</v>
      </c>
      <c r="W822">
        <v>4.7008982900058664E-2</v>
      </c>
      <c r="X822">
        <v>6.5809421183336565E-3</v>
      </c>
      <c r="Y822">
        <v>2.2257603518375368E-3</v>
      </c>
    </row>
    <row r="823" spans="1:25" x14ac:dyDescent="0.25">
      <c r="A823" s="1096"/>
      <c r="B823" s="1455">
        <v>573</v>
      </c>
      <c r="C823" s="1100">
        <v>0.98997230277800208</v>
      </c>
      <c r="D823" s="1100">
        <v>0.98673730785703628</v>
      </c>
      <c r="E823" s="1100">
        <v>1.0008171245190154</v>
      </c>
      <c r="F823" s="1100">
        <v>1.0045885519446509</v>
      </c>
      <c r="G823" s="1100">
        <v>1.0043095222898877</v>
      </c>
      <c r="H823" s="1100">
        <v>1.0274649205129924</v>
      </c>
      <c r="I823" s="1100">
        <v>0.9661148758987278</v>
      </c>
      <c r="K823">
        <v>1.1581421144464554</v>
      </c>
      <c r="L823">
        <v>0</v>
      </c>
      <c r="M823">
        <v>8.3413226205403224E-4</v>
      </c>
      <c r="N823">
        <v>7.6952576289333899E-2</v>
      </c>
      <c r="O823">
        <v>1.0510343444581523E-2</v>
      </c>
      <c r="P823">
        <v>1.3595327703598061E-2</v>
      </c>
      <c r="Q823">
        <v>4.5676754582713085E-4</v>
      </c>
      <c r="R823">
        <v>8.3233424629623547E-4</v>
      </c>
      <c r="S823">
        <v>7.2695992602340928E-2</v>
      </c>
      <c r="T823">
        <v>0.83137644404962596</v>
      </c>
      <c r="U823">
        <v>0</v>
      </c>
      <c r="V823">
        <v>9.253107131256133E-2</v>
      </c>
      <c r="W823">
        <v>5.0528074247080203E-2</v>
      </c>
      <c r="X823">
        <v>7.2319758277555922E-3</v>
      </c>
      <c r="Y823">
        <v>2.2653394395078024E-3</v>
      </c>
    </row>
    <row r="824" spans="1:25" x14ac:dyDescent="0.25">
      <c r="A824" s="1096"/>
      <c r="B824" s="1455">
        <v>574</v>
      </c>
      <c r="C824" s="1100">
        <v>1.0136228990946512</v>
      </c>
      <c r="D824" s="1100">
        <v>1.0284100791455493</v>
      </c>
      <c r="E824" s="1100">
        <v>0.96365298615155826</v>
      </c>
      <c r="F824" s="1100">
        <v>1.0200072038826606</v>
      </c>
      <c r="G824" s="1100">
        <v>1.0279457750103074</v>
      </c>
      <c r="H824" s="1100">
        <v>0.98855875133555204</v>
      </c>
      <c r="I824" s="1100">
        <v>0.97756633512146696</v>
      </c>
      <c r="K824">
        <v>1.1558036530144273</v>
      </c>
      <c r="L824">
        <v>0</v>
      </c>
      <c r="M824">
        <v>8.3256290851652234E-4</v>
      </c>
      <c r="N824">
        <v>6.8634374050408092E-2</v>
      </c>
      <c r="O824">
        <v>1.0084825024058759E-2</v>
      </c>
      <c r="P824">
        <v>1.3373665474106948E-2</v>
      </c>
      <c r="Q824">
        <v>4.2204796095089882E-4</v>
      </c>
      <c r="R824">
        <v>8.3069764519000313E-4</v>
      </c>
      <c r="S824">
        <v>6.8786814706915472E-2</v>
      </c>
      <c r="T824">
        <v>0.84666805788092214</v>
      </c>
      <c r="U824">
        <v>0</v>
      </c>
      <c r="V824">
        <v>9.2953328161874113E-2</v>
      </c>
      <c r="W824">
        <v>4.6087194301756063E-2</v>
      </c>
      <c r="X824">
        <v>6.5343255659593633E-3</v>
      </c>
      <c r="Y824">
        <v>2.2608851508020473E-3</v>
      </c>
    </row>
    <row r="825" spans="1:25" x14ac:dyDescent="0.25">
      <c r="A825" s="1096"/>
      <c r="B825" s="1455">
        <v>575</v>
      </c>
      <c r="C825" s="1100">
        <v>1.0225633427705241</v>
      </c>
      <c r="D825" s="1100">
        <v>0.98918721771559592</v>
      </c>
      <c r="E825" s="1100">
        <v>1.0144537360314834</v>
      </c>
      <c r="F825" s="1100">
        <v>0.99889529642671504</v>
      </c>
      <c r="G825" s="1100">
        <v>0.98577342446569283</v>
      </c>
      <c r="H825" s="1100">
        <v>1.0062732482648513</v>
      </c>
      <c r="I825" s="1100">
        <v>0.9683891886922823</v>
      </c>
      <c r="K825">
        <v>1.1419058608672261</v>
      </c>
      <c r="L825">
        <v>0</v>
      </c>
      <c r="M825">
        <v>7.680451396675183E-4</v>
      </c>
      <c r="N825">
        <v>7.3830832364438867E-2</v>
      </c>
      <c r="O825">
        <v>1.0169659796553945E-2</v>
      </c>
      <c r="P825">
        <v>1.3592335051557661E-2</v>
      </c>
      <c r="Q825">
        <v>4.4803575845961879E-4</v>
      </c>
      <c r="R825">
        <v>7.6635471276417181E-4</v>
      </c>
      <c r="S825">
        <v>6.9650495930414377E-2</v>
      </c>
      <c r="T825">
        <v>0.82576638342696362</v>
      </c>
      <c r="U825">
        <v>0</v>
      </c>
      <c r="V825">
        <v>9.0942836502802604E-2</v>
      </c>
      <c r="W825">
        <v>4.808931270995695E-2</v>
      </c>
      <c r="X825">
        <v>7.3318948535996339E-3</v>
      </c>
      <c r="Y825">
        <v>2.0857648993809082E-3</v>
      </c>
    </row>
    <row r="826" spans="1:25" x14ac:dyDescent="0.25">
      <c r="A826" s="1096"/>
      <c r="B826" s="1455">
        <v>576</v>
      </c>
      <c r="C826" s="1100">
        <v>0.9998868323423783</v>
      </c>
      <c r="D826" s="1100">
        <v>0.99461869278910164</v>
      </c>
      <c r="E826" s="1100">
        <v>1.0087651398449327</v>
      </c>
      <c r="F826" s="1100">
        <v>1.0215920177605624</v>
      </c>
      <c r="G826" s="1100">
        <v>1.0076831989571458</v>
      </c>
      <c r="H826" s="1100">
        <v>0.99642555757041074</v>
      </c>
      <c r="I826" s="1100">
        <v>0.98426939400072555</v>
      </c>
      <c r="K826">
        <v>1.1660237205533823</v>
      </c>
      <c r="L826">
        <v>0</v>
      </c>
      <c r="M826">
        <v>7.8530360303722205E-4</v>
      </c>
      <c r="N826">
        <v>7.420300783626102E-2</v>
      </c>
      <c r="O826">
        <v>1.0375673674938997E-2</v>
      </c>
      <c r="P826">
        <v>1.384781231477945E-2</v>
      </c>
      <c r="Q826">
        <v>4.5452221454238593E-4</v>
      </c>
      <c r="R826">
        <v>7.8355810924105062E-4</v>
      </c>
      <c r="S826">
        <v>7.1793104436520802E-2</v>
      </c>
      <c r="T826">
        <v>0.84491185839922123</v>
      </c>
      <c r="U826">
        <v>0</v>
      </c>
      <c r="V826">
        <v>9.2428252501795885E-2</v>
      </c>
      <c r="W826">
        <v>4.8493918832380786E-2</v>
      </c>
      <c r="X826">
        <v>7.3847289632432535E-3</v>
      </c>
      <c r="Y826">
        <v>2.132586873492848E-3</v>
      </c>
    </row>
    <row r="827" spans="1:25" x14ac:dyDescent="0.25">
      <c r="A827" s="1096"/>
      <c r="B827" s="1455">
        <v>577</v>
      </c>
      <c r="C827" s="1100">
        <v>0.97043840736970455</v>
      </c>
      <c r="D827" s="1100">
        <v>1.0117040768788812</v>
      </c>
      <c r="E827" s="1100">
        <v>1.0275871336674496</v>
      </c>
      <c r="F827" s="1100">
        <v>0.99360173926861994</v>
      </c>
      <c r="G827" s="1100">
        <v>1.0205023073121489</v>
      </c>
      <c r="H827" s="1100">
        <v>0.97289790245929653</v>
      </c>
      <c r="I827" s="1100">
        <v>0.98686093952364884</v>
      </c>
      <c r="K827">
        <v>1.145612355689394</v>
      </c>
      <c r="L827">
        <v>0</v>
      </c>
      <c r="M827">
        <v>7.5453764512632584E-4</v>
      </c>
      <c r="N827">
        <v>7.5457914513414007E-2</v>
      </c>
      <c r="O827">
        <v>1.0624280004753921E-2</v>
      </c>
      <c r="P827">
        <v>1.3730587184091564E-2</v>
      </c>
      <c r="Q827">
        <v>4.7421245474188321E-4</v>
      </c>
      <c r="R827">
        <v>7.5281997713314106E-4</v>
      </c>
      <c r="S827">
        <v>7.2573743608793442E-2</v>
      </c>
      <c r="T827">
        <v>0.82053526653672104</v>
      </c>
      <c r="U827">
        <v>0</v>
      </c>
      <c r="V827">
        <v>9.3731545836998248E-2</v>
      </c>
      <c r="W827">
        <v>4.8773200789878887E-2</v>
      </c>
      <c r="X827">
        <v>7.6643946172773626E-3</v>
      </c>
      <c r="Y827">
        <v>2.0489278107176448E-3</v>
      </c>
    </row>
    <row r="828" spans="1:25" x14ac:dyDescent="0.25">
      <c r="A828" s="1096"/>
      <c r="B828" s="1455">
        <v>578</v>
      </c>
      <c r="C828" s="1100">
        <v>1.0100536971737926</v>
      </c>
      <c r="D828" s="1100">
        <v>1.0112239884164429</v>
      </c>
      <c r="E828" s="1100">
        <v>1.0086829425866306</v>
      </c>
      <c r="F828" s="1100">
        <v>0.99819156057600444</v>
      </c>
      <c r="G828" s="1100">
        <v>1.0202481521213189</v>
      </c>
      <c r="H828" s="1100">
        <v>0.98383173510708222</v>
      </c>
      <c r="I828" s="1100">
        <v>0.99934279963941541</v>
      </c>
      <c r="K828">
        <v>1.1419807842118659</v>
      </c>
      <c r="L828">
        <v>0</v>
      </c>
      <c r="M828">
        <v>7.6263686518011572E-4</v>
      </c>
      <c r="N828">
        <v>7.2041301230663837E-2</v>
      </c>
      <c r="O828">
        <v>1.0203408213024788E-2</v>
      </c>
      <c r="P828">
        <v>1.3575174762825281E-2</v>
      </c>
      <c r="Q828">
        <v>4.4693911188602224E-4</v>
      </c>
      <c r="R828">
        <v>7.6092005395024282E-4</v>
      </c>
      <c r="S828">
        <v>7.1043130059069926E-2</v>
      </c>
      <c r="T828">
        <v>0.82556382335398859</v>
      </c>
      <c r="U828">
        <v>0</v>
      </c>
      <c r="V828">
        <v>9.2715842871790008E-2</v>
      </c>
      <c r="W828">
        <v>4.7083462288727097E-2</v>
      </c>
      <c r="X828">
        <v>7.2384455814963021E-3</v>
      </c>
      <c r="Y828">
        <v>2.070973549624191E-3</v>
      </c>
    </row>
    <row r="829" spans="1:25" x14ac:dyDescent="0.25">
      <c r="A829" s="1096"/>
      <c r="B829" s="1455">
        <v>579</v>
      </c>
      <c r="C829" s="1100">
        <v>1.0383499902938456</v>
      </c>
      <c r="D829" s="1100">
        <v>0.9941970506824509</v>
      </c>
      <c r="E829" s="1100">
        <v>0.98688537575935564</v>
      </c>
      <c r="F829" s="1100">
        <v>0.98579877799339977</v>
      </c>
      <c r="G829" s="1100">
        <v>0.99937050909122238</v>
      </c>
      <c r="H829" s="1100">
        <v>0.99132411344716886</v>
      </c>
      <c r="I829" s="1100">
        <v>1.0215102364410726</v>
      </c>
      <c r="K829">
        <v>1.1277169633698565</v>
      </c>
      <c r="L829">
        <v>0</v>
      </c>
      <c r="M829">
        <v>7.8739564324923901E-4</v>
      </c>
      <c r="N829">
        <v>6.9640034788589919E-2</v>
      </c>
      <c r="O829">
        <v>9.9861163074248405E-3</v>
      </c>
      <c r="P829">
        <v>1.3221929366200959E-2</v>
      </c>
      <c r="Q829">
        <v>4.2792963247843666E-4</v>
      </c>
      <c r="R829">
        <v>7.8563649307751907E-4</v>
      </c>
      <c r="S829">
        <v>7.1535157909453917E-2</v>
      </c>
      <c r="T829">
        <v>0.81673840454433688</v>
      </c>
      <c r="U829">
        <v>0</v>
      </c>
      <c r="V829">
        <v>9.1151733409978494E-2</v>
      </c>
      <c r="W829">
        <v>4.6108624796616267E-2</v>
      </c>
      <c r="X829">
        <v>6.7705482157910026E-3</v>
      </c>
      <c r="Y829">
        <v>2.1382435491566674E-3</v>
      </c>
    </row>
    <row r="830" spans="1:25" x14ac:dyDescent="0.25">
      <c r="A830" s="1096"/>
      <c r="B830" s="1455">
        <v>580</v>
      </c>
      <c r="C830" s="1100">
        <v>0.96601718977374851</v>
      </c>
      <c r="D830" s="1100">
        <v>0.99332139561758737</v>
      </c>
      <c r="E830" s="1100">
        <v>0.96394184481818712</v>
      </c>
      <c r="F830" s="1100">
        <v>0.9606610668088581</v>
      </c>
      <c r="G830" s="1100">
        <v>0.98838288305028565</v>
      </c>
      <c r="H830" s="1100">
        <v>0.99189761752621375</v>
      </c>
      <c r="I830" s="1100">
        <v>1.0255514750999499</v>
      </c>
      <c r="K830">
        <v>1.1224666070533309</v>
      </c>
      <c r="L830">
        <v>0</v>
      </c>
      <c r="M830">
        <v>8.8826974119380654E-4</v>
      </c>
      <c r="N830">
        <v>7.3291361655766871E-2</v>
      </c>
      <c r="O830">
        <v>1.0729870693052066E-2</v>
      </c>
      <c r="P830">
        <v>1.2828673394916236E-2</v>
      </c>
      <c r="Q830">
        <v>4.491760495790805E-4</v>
      </c>
      <c r="R830">
        <v>8.8628637183759535E-4</v>
      </c>
      <c r="S830">
        <v>7.7227044842989576E-2</v>
      </c>
      <c r="T830">
        <v>0.79738845584442808</v>
      </c>
      <c r="U830">
        <v>0</v>
      </c>
      <c r="V830">
        <v>9.2465172494399769E-2</v>
      </c>
      <c r="W830">
        <v>4.9205613717725478E-2</v>
      </c>
      <c r="X830">
        <v>6.4710423899121232E-3</v>
      </c>
      <c r="Y830">
        <v>2.41217933991798E-3</v>
      </c>
    </row>
    <row r="831" spans="1:25" x14ac:dyDescent="0.25">
      <c r="A831" s="1096"/>
      <c r="B831" s="1455">
        <v>581</v>
      </c>
      <c r="C831" s="1100">
        <v>0.9608608709404628</v>
      </c>
      <c r="D831" s="1100">
        <v>0.9807000086731904</v>
      </c>
      <c r="E831" s="1100">
        <v>1.0227607135619343</v>
      </c>
      <c r="F831" s="1100">
        <v>1.0419571475795519</v>
      </c>
      <c r="G831" s="1100">
        <v>1.0091583982638856</v>
      </c>
      <c r="H831" s="1100">
        <v>1.0162627972595608</v>
      </c>
      <c r="I831" s="1100">
        <v>0.96245940382389839</v>
      </c>
      <c r="K831">
        <v>1.1966763092749046</v>
      </c>
      <c r="L831">
        <v>0</v>
      </c>
      <c r="M831">
        <v>8.141392853089701E-4</v>
      </c>
      <c r="N831">
        <v>8.0249776880806131E-2</v>
      </c>
      <c r="O831">
        <v>1.0862940856973483E-2</v>
      </c>
      <c r="P831">
        <v>1.4262761496726679E-2</v>
      </c>
      <c r="Q831">
        <v>4.8255072344310928E-4</v>
      </c>
      <c r="R831">
        <v>8.1236502122213018E-4</v>
      </c>
      <c r="S831">
        <v>7.4416237497468521E-2</v>
      </c>
      <c r="T831">
        <v>0.86079692080819492</v>
      </c>
      <c r="U831">
        <v>0</v>
      </c>
      <c r="V831">
        <v>9.3500554332402647E-2</v>
      </c>
      <c r="W831">
        <v>5.2016561514511818E-2</v>
      </c>
      <c r="X831">
        <v>7.8787896367549549E-3</v>
      </c>
      <c r="Y831">
        <v>2.2109897917093647E-3</v>
      </c>
    </row>
    <row r="832" spans="1:25" x14ac:dyDescent="0.25">
      <c r="A832" s="1096"/>
      <c r="B832" s="1455">
        <v>582</v>
      </c>
      <c r="C832" s="1100">
        <v>1.0202367573485835</v>
      </c>
      <c r="D832" s="1100">
        <v>1.0323068187777569</v>
      </c>
      <c r="E832" s="1100">
        <v>1.0025717857751173</v>
      </c>
      <c r="F832" s="1100">
        <v>1.0159179436434989</v>
      </c>
      <c r="G832" s="1100">
        <v>0.98491072947126934</v>
      </c>
      <c r="H832" s="1100">
        <v>1.0100686053889587</v>
      </c>
      <c r="I832" s="1100">
        <v>1.0095847829613316</v>
      </c>
      <c r="K832">
        <v>1.1559388217529303</v>
      </c>
      <c r="L832">
        <v>0</v>
      </c>
      <c r="M832">
        <v>7.7860439045916914E-4</v>
      </c>
      <c r="N832">
        <v>7.2208934198822086E-2</v>
      </c>
      <c r="O832">
        <v>1.0016596780612104E-2</v>
      </c>
      <c r="P832">
        <v>1.3699560969977305E-2</v>
      </c>
      <c r="Q832">
        <v>4.3607761269692634E-4</v>
      </c>
      <c r="R832">
        <v>7.7689716234694928E-4</v>
      </c>
      <c r="S832">
        <v>7.1341573895922383E-2</v>
      </c>
      <c r="T832">
        <v>0.84063449310442728</v>
      </c>
      <c r="U832">
        <v>0</v>
      </c>
      <c r="V832">
        <v>9.0959367910812938E-2</v>
      </c>
      <c r="W832">
        <v>4.7363982056703231E-2</v>
      </c>
      <c r="X832">
        <v>7.1654844792393745E-3</v>
      </c>
      <c r="Y832">
        <v>2.114457971827658E-3</v>
      </c>
    </row>
    <row r="833" spans="1:25" x14ac:dyDescent="0.25">
      <c r="A833" s="1096"/>
      <c r="B833" s="1455">
        <v>583</v>
      </c>
      <c r="C833" s="1100">
        <v>0.99340999697771637</v>
      </c>
      <c r="D833" s="1100">
        <v>1.0377247720901075</v>
      </c>
      <c r="E833" s="1100">
        <v>0.97833193846496225</v>
      </c>
      <c r="F833" s="1100">
        <v>0.98288756037658598</v>
      </c>
      <c r="G833" s="1100">
        <v>0.9982155562893319</v>
      </c>
      <c r="H833" s="1100">
        <v>1.0156333578297407</v>
      </c>
      <c r="I833" s="1100">
        <v>1.016861702172188</v>
      </c>
      <c r="K833">
        <v>1.1348083868966954</v>
      </c>
      <c r="L833">
        <v>0</v>
      </c>
      <c r="M833">
        <v>8.4366505214046833E-4</v>
      </c>
      <c r="N833">
        <v>7.2714665472507434E-2</v>
      </c>
      <c r="O833">
        <v>1.0257717990872666E-2</v>
      </c>
      <c r="P833">
        <v>1.3155790847454493E-2</v>
      </c>
      <c r="Q833">
        <v>4.3576900928367704E-4</v>
      </c>
      <c r="R833">
        <v>8.4182530269517983E-4</v>
      </c>
      <c r="S833">
        <v>7.379832880571581E-2</v>
      </c>
      <c r="T833">
        <v>0.81488776899470428</v>
      </c>
      <c r="U833">
        <v>0</v>
      </c>
      <c r="V833">
        <v>9.2180650032852737E-2</v>
      </c>
      <c r="W833">
        <v>4.8393117783677594E-2</v>
      </c>
      <c r="X833">
        <v>6.6952467427700687E-3</v>
      </c>
      <c r="Y833">
        <v>2.2911709662998278E-3</v>
      </c>
    </row>
    <row r="834" spans="1:25" x14ac:dyDescent="0.25">
      <c r="A834" s="1096"/>
      <c r="B834" s="1455">
        <v>584</v>
      </c>
      <c r="C834" s="1100">
        <v>0.98016847408967045</v>
      </c>
      <c r="D834" s="1100">
        <v>1.0006238952444857</v>
      </c>
      <c r="E834" s="1100">
        <v>0.99209845064762059</v>
      </c>
      <c r="F834" s="1100">
        <v>1.0174922205615806</v>
      </c>
      <c r="G834" s="1100">
        <v>1.0393642572580652</v>
      </c>
      <c r="H834" s="1100">
        <v>0.99836155341645261</v>
      </c>
      <c r="I834" s="1100">
        <v>1.0216982609397112</v>
      </c>
      <c r="K834">
        <v>1.1705349634494664</v>
      </c>
      <c r="L834">
        <v>0</v>
      </c>
      <c r="M834">
        <v>8.2889652774906426E-4</v>
      </c>
      <c r="N834">
        <v>7.4476368360675727E-2</v>
      </c>
      <c r="O834">
        <v>1.0553385392141448E-2</v>
      </c>
      <c r="P834">
        <v>1.3725970951425377E-2</v>
      </c>
      <c r="Q834">
        <v>4.5462840665769439E-4</v>
      </c>
      <c r="R834">
        <v>8.270577126968736E-4</v>
      </c>
      <c r="S834">
        <v>7.5849410924993782E-2</v>
      </c>
      <c r="T834">
        <v>0.84264358200119172</v>
      </c>
      <c r="U834">
        <v>0</v>
      </c>
      <c r="V834">
        <v>9.4279028591827407E-2</v>
      </c>
      <c r="W834">
        <v>4.9156941693910862E-2</v>
      </c>
      <c r="X834">
        <v>7.1465074872350464E-3</v>
      </c>
      <c r="Y834">
        <v>2.2509784544591728E-3</v>
      </c>
    </row>
    <row r="835" spans="1:25" x14ac:dyDescent="0.25">
      <c r="A835" s="1096"/>
      <c r="B835" s="1455">
        <v>585</v>
      </c>
      <c r="C835" s="1100">
        <v>1.012669042541896</v>
      </c>
      <c r="D835" s="1100">
        <v>1.03229552387674</v>
      </c>
      <c r="E835" s="1100">
        <v>0.99516285146008099</v>
      </c>
      <c r="F835" s="1100">
        <v>1.0370034267865633</v>
      </c>
      <c r="G835" s="1100">
        <v>1.0256270489068007</v>
      </c>
      <c r="H835" s="1100">
        <v>0.98128389907114755</v>
      </c>
      <c r="I835" s="1100">
        <v>0.98726490668276978</v>
      </c>
      <c r="K835">
        <v>1.1706461494285942</v>
      </c>
      <c r="L835">
        <v>0</v>
      </c>
      <c r="M835">
        <v>7.7387214740638332E-4</v>
      </c>
      <c r="N835">
        <v>7.0176750739302268E-2</v>
      </c>
      <c r="O835">
        <v>1.0089131426895701E-2</v>
      </c>
      <c r="P835">
        <v>1.3864090192477316E-2</v>
      </c>
      <c r="Q835">
        <v>4.3597443473120459E-4</v>
      </c>
      <c r="R835">
        <v>7.7212552060064855E-4</v>
      </c>
      <c r="S835">
        <v>6.9150531022390452E-2</v>
      </c>
      <c r="T835">
        <v>0.85859088881880097</v>
      </c>
      <c r="U835">
        <v>0</v>
      </c>
      <c r="V835">
        <v>9.2880652792475024E-2</v>
      </c>
      <c r="W835">
        <v>4.6234338044698835E-2</v>
      </c>
      <c r="X835">
        <v>7.1240674476628499E-3</v>
      </c>
      <c r="Y835">
        <v>2.1014711359655064E-3</v>
      </c>
    </row>
    <row r="836" spans="1:25" x14ac:dyDescent="0.25">
      <c r="A836" s="1096"/>
      <c r="B836" s="1455">
        <v>586</v>
      </c>
      <c r="C836" s="1100">
        <v>1.0014939886973508</v>
      </c>
      <c r="D836" s="1100">
        <v>0.97576540144105295</v>
      </c>
      <c r="E836" s="1100">
        <v>1.0302272216544746</v>
      </c>
      <c r="F836" s="1100">
        <v>1.0365640629540391</v>
      </c>
      <c r="G836" s="1100">
        <v>1.0239450622923438</v>
      </c>
      <c r="H836" s="1100">
        <v>0.99796343918921449</v>
      </c>
      <c r="I836" s="1100">
        <v>1.0109685955387238</v>
      </c>
      <c r="K836">
        <v>1.1839768459476889</v>
      </c>
      <c r="L836">
        <v>0</v>
      </c>
      <c r="M836">
        <v>7.5673237901359826E-4</v>
      </c>
      <c r="N836">
        <v>7.6286519833594968E-2</v>
      </c>
      <c r="O836">
        <v>1.044572907533012E-2</v>
      </c>
      <c r="P836">
        <v>1.4266055846204721E-2</v>
      </c>
      <c r="Q836">
        <v>4.6746220055623593E-4</v>
      </c>
      <c r="R836">
        <v>7.5505298243606488E-4</v>
      </c>
      <c r="S836">
        <v>7.4439549685138065E-2</v>
      </c>
      <c r="T836">
        <v>0.85583575940931</v>
      </c>
      <c r="U836">
        <v>0</v>
      </c>
      <c r="V836">
        <v>9.308682551693899E-2</v>
      </c>
      <c r="W836">
        <v>4.9233207657137686E-2</v>
      </c>
      <c r="X836">
        <v>7.8624108050131553E-3</v>
      </c>
      <c r="Y836">
        <v>2.0550053150422032E-3</v>
      </c>
    </row>
    <row r="837" spans="1:25" x14ac:dyDescent="0.25">
      <c r="A837" s="1096"/>
      <c r="B837" s="1455">
        <v>587</v>
      </c>
      <c r="C837" s="1100">
        <v>0.97727133524280063</v>
      </c>
      <c r="D837" s="1100">
        <v>0.98105584664604162</v>
      </c>
      <c r="E837" s="1100">
        <v>0.99060769851474173</v>
      </c>
      <c r="F837" s="1100">
        <v>0.99670354092746027</v>
      </c>
      <c r="G837" s="1100">
        <v>0.97937669927119608</v>
      </c>
      <c r="H837" s="1100">
        <v>1.0320850619588016</v>
      </c>
      <c r="I837" s="1100">
        <v>1.0195205493238415</v>
      </c>
      <c r="K837">
        <v>1.1585568199616585</v>
      </c>
      <c r="L837">
        <v>0</v>
      </c>
      <c r="M837">
        <v>8.6893148979950378E-4</v>
      </c>
      <c r="N837">
        <v>7.7728090994860916E-2</v>
      </c>
      <c r="O837">
        <v>1.0668117013755602E-2</v>
      </c>
      <c r="P837">
        <v>1.3476011795199685E-2</v>
      </c>
      <c r="Q837">
        <v>4.5887947908503324E-4</v>
      </c>
      <c r="R837">
        <v>8.6706684711431868E-4</v>
      </c>
      <c r="S837">
        <v>7.8126413728155708E-2</v>
      </c>
      <c r="T837">
        <v>0.82552607132695388</v>
      </c>
      <c r="U837">
        <v>0</v>
      </c>
      <c r="V837">
        <v>9.1788758095845316E-2</v>
      </c>
      <c r="W837">
        <v>5.1348977260974919E-2</v>
      </c>
      <c r="X837">
        <v>7.0774947801763508E-3</v>
      </c>
      <c r="Y837">
        <v>2.3598701293358424E-3</v>
      </c>
    </row>
    <row r="838" spans="1:25" x14ac:dyDescent="0.25">
      <c r="A838" s="1096"/>
      <c r="B838" s="1455">
        <v>588</v>
      </c>
      <c r="C838" s="1100">
        <v>1.0152783072401408</v>
      </c>
      <c r="D838" s="1100">
        <v>0.96779028370146303</v>
      </c>
      <c r="E838" s="1100">
        <v>0.99409956625144547</v>
      </c>
      <c r="F838" s="1100">
        <v>1.0048580049195357</v>
      </c>
      <c r="G838" s="1100">
        <v>1.0069098069524962</v>
      </c>
      <c r="H838" s="1100">
        <v>0.95701477869485141</v>
      </c>
      <c r="I838" s="1100">
        <v>0.96287786148593912</v>
      </c>
      <c r="K838">
        <v>1.1421242282412871</v>
      </c>
      <c r="L838">
        <v>0</v>
      </c>
      <c r="M838">
        <v>7.7417973503838948E-4</v>
      </c>
      <c r="N838">
        <v>6.9975376033954512E-2</v>
      </c>
      <c r="O838">
        <v>1.0325966855731348E-2</v>
      </c>
      <c r="P838">
        <v>1.3473468793456567E-2</v>
      </c>
      <c r="Q838">
        <v>4.4573056680715067E-4</v>
      </c>
      <c r="R838">
        <v>7.7238810336101803E-4</v>
      </c>
      <c r="S838">
        <v>6.8590121973106488E-2</v>
      </c>
      <c r="T838">
        <v>0.83204688811323058</v>
      </c>
      <c r="U838">
        <v>0</v>
      </c>
      <c r="V838">
        <v>9.20173378761516E-2</v>
      </c>
      <c r="W838">
        <v>4.6130934396842661E-2</v>
      </c>
      <c r="X838">
        <v>7.0180094640049373E-3</v>
      </c>
      <c r="Y838">
        <v>2.1021857996788478E-3</v>
      </c>
    </row>
    <row r="839" spans="1:25" x14ac:dyDescent="0.25">
      <c r="A839" s="1096"/>
      <c r="B839" s="1455">
        <v>589</v>
      </c>
      <c r="C839" s="1100">
        <v>0.9790355853778252</v>
      </c>
      <c r="D839" s="1100">
        <v>1.0090590264009134</v>
      </c>
      <c r="E839" s="1100">
        <v>0.97364755066795805</v>
      </c>
      <c r="F839" s="1100">
        <v>1.0296564147073908</v>
      </c>
      <c r="G839" s="1100">
        <v>1.034529455183383</v>
      </c>
      <c r="H839" s="1100">
        <v>1.004714149524818</v>
      </c>
      <c r="I839" s="1100">
        <v>1.0005267751765115</v>
      </c>
      <c r="K839">
        <v>1.1787257843560364</v>
      </c>
      <c r="L839">
        <v>0</v>
      </c>
      <c r="M839">
        <v>8.6472083589849921E-4</v>
      </c>
      <c r="N839">
        <v>7.3478507951611677E-2</v>
      </c>
      <c r="O839">
        <v>1.052405019023538E-2</v>
      </c>
      <c r="P839">
        <v>1.3663436162050208E-2</v>
      </c>
      <c r="Q839">
        <v>4.449550195230689E-4</v>
      </c>
      <c r="R839">
        <v>8.6281467751721187E-4</v>
      </c>
      <c r="S839">
        <v>7.4284961045551309E-2</v>
      </c>
      <c r="T839">
        <v>0.85398574308227126</v>
      </c>
      <c r="U839">
        <v>0</v>
      </c>
      <c r="V839">
        <v>9.4099312794707374E-2</v>
      </c>
      <c r="W839">
        <v>4.9040428400575029E-2</v>
      </c>
      <c r="X839">
        <v>6.8579987424707955E-3</v>
      </c>
      <c r="Y839">
        <v>2.3482971254198486E-3</v>
      </c>
    </row>
    <row r="840" spans="1:25" x14ac:dyDescent="0.25">
      <c r="A840" s="1096"/>
      <c r="B840" s="1455">
        <v>590</v>
      </c>
      <c r="C840" s="1100">
        <v>0.96829438945960555</v>
      </c>
      <c r="D840" s="1100">
        <v>0.99413445126963829</v>
      </c>
      <c r="E840" s="1100">
        <v>0.96565103270318486</v>
      </c>
      <c r="F840" s="1100">
        <v>1.0106002422742939</v>
      </c>
      <c r="G840" s="1100">
        <v>0.99551315617092972</v>
      </c>
      <c r="H840" s="1100">
        <v>1.0079023029870067</v>
      </c>
      <c r="I840" s="1100">
        <v>0.999210321699469</v>
      </c>
      <c r="K840">
        <v>1.165084710065261</v>
      </c>
      <c r="L840">
        <v>0</v>
      </c>
      <c r="M840">
        <v>8.9701690559792168E-4</v>
      </c>
      <c r="N840">
        <v>7.4399911185653603E-2</v>
      </c>
      <c r="O840">
        <v>1.0701709541721722E-2</v>
      </c>
      <c r="P840">
        <v>1.3377617677381545E-2</v>
      </c>
      <c r="Q840">
        <v>4.4878274215309636E-4</v>
      </c>
      <c r="R840">
        <v>8.9504580963527258E-4</v>
      </c>
      <c r="S840">
        <v>7.5710144943413729E-2</v>
      </c>
      <c r="T840">
        <v>0.83872371642586863</v>
      </c>
      <c r="U840">
        <v>0</v>
      </c>
      <c r="V840">
        <v>9.2710119682174005E-2</v>
      </c>
      <c r="W840">
        <v>4.9897711175746907E-2</v>
      </c>
      <c r="X840">
        <v>6.6809481450548274E-3</v>
      </c>
      <c r="Y840">
        <v>2.4360196420553622E-3</v>
      </c>
    </row>
    <row r="841" spans="1:25" x14ac:dyDescent="0.25">
      <c r="A841" s="1096"/>
      <c r="B841" s="1455">
        <v>591</v>
      </c>
      <c r="C841" s="1100">
        <v>1.0379684791603512</v>
      </c>
      <c r="D841" s="1100">
        <v>1.0357136506424813</v>
      </c>
      <c r="E841" s="1100">
        <v>0.9997307085270436</v>
      </c>
      <c r="F841" s="1100">
        <v>1.0287599110596981</v>
      </c>
      <c r="G841" s="1100">
        <v>0.99998834522731406</v>
      </c>
      <c r="H841" s="1100">
        <v>0.9909184811701881</v>
      </c>
      <c r="I841" s="1100">
        <v>0.98830688319553306</v>
      </c>
      <c r="K841">
        <v>1.1585262300097445</v>
      </c>
      <c r="L841">
        <v>0</v>
      </c>
      <c r="M841">
        <v>7.542376585268196E-4</v>
      </c>
      <c r="N841">
        <v>6.9348392875587195E-2</v>
      </c>
      <c r="O841">
        <v>9.8316317618224753E-3</v>
      </c>
      <c r="P841">
        <v>1.3772735286466187E-2</v>
      </c>
      <c r="Q841">
        <v>4.2680523629075746E-4</v>
      </c>
      <c r="R841">
        <v>7.5255189807044989E-4</v>
      </c>
      <c r="S841">
        <v>6.7794662447410309E-2</v>
      </c>
      <c r="T841">
        <v>0.85145413914275347</v>
      </c>
      <c r="U841">
        <v>0</v>
      </c>
      <c r="V841">
        <v>9.1188586333889918E-2</v>
      </c>
      <c r="W841">
        <v>4.5564472758155596E-2</v>
      </c>
      <c r="X841">
        <v>7.0982917399437734E-3</v>
      </c>
      <c r="Y841">
        <v>2.0481981878812381E-3</v>
      </c>
    </row>
    <row r="842" spans="1:25" x14ac:dyDescent="0.25">
      <c r="A842" s="1096"/>
      <c r="B842" s="1455">
        <v>592</v>
      </c>
      <c r="C842" s="1100">
        <v>0.97721939882588948</v>
      </c>
      <c r="D842" s="1100">
        <v>0.9696016001007205</v>
      </c>
      <c r="E842" s="1100">
        <v>1.0011846112700029</v>
      </c>
      <c r="F842" s="1100">
        <v>1.0057100081859878</v>
      </c>
      <c r="G842" s="1100">
        <v>1.0118559942944512</v>
      </c>
      <c r="H842" s="1100">
        <v>0.98492961361307407</v>
      </c>
      <c r="I842" s="1100">
        <v>0.97785692855256512</v>
      </c>
      <c r="K842">
        <v>1.1579175664176251</v>
      </c>
      <c r="L842">
        <v>0</v>
      </c>
      <c r="M842">
        <v>8.1511007359787917E-4</v>
      </c>
      <c r="N842">
        <v>7.5274196922200193E-2</v>
      </c>
      <c r="O842">
        <v>1.0722503837239552E-2</v>
      </c>
      <c r="P842">
        <v>1.3630673562372768E-2</v>
      </c>
      <c r="Q842">
        <v>4.6615986235871624E-4</v>
      </c>
      <c r="R842">
        <v>8.1327718258041406E-4</v>
      </c>
      <c r="S842">
        <v>7.3458913696336364E-2</v>
      </c>
      <c r="T842">
        <v>0.83228008143635712</v>
      </c>
      <c r="U842">
        <v>0</v>
      </c>
      <c r="V842">
        <v>9.3180461200398024E-2</v>
      </c>
      <c r="W842">
        <v>4.9415242634575918E-2</v>
      </c>
      <c r="X842">
        <v>7.2776937625713837E-3</v>
      </c>
      <c r="Y842">
        <v>2.2134723942327018E-3</v>
      </c>
    </row>
    <row r="843" spans="1:25" x14ac:dyDescent="0.25">
      <c r="A843" s="1096"/>
      <c r="B843" s="1455">
        <v>593</v>
      </c>
      <c r="C843" s="1100">
        <v>1.0188178217478012</v>
      </c>
      <c r="D843" s="1100">
        <v>0.99397119085590491</v>
      </c>
      <c r="E843" s="1100">
        <v>0.96960731328579308</v>
      </c>
      <c r="F843" s="1100">
        <v>1.0080613561341971</v>
      </c>
      <c r="G843" s="1100">
        <v>0.97588570497706684</v>
      </c>
      <c r="H843" s="1100">
        <v>0.98539544961693382</v>
      </c>
      <c r="I843" s="1100">
        <v>0.9953233297930405</v>
      </c>
      <c r="K843">
        <v>1.1463074356884957</v>
      </c>
      <c r="L843">
        <v>0</v>
      </c>
      <c r="M843">
        <v>8.267731801102757E-4</v>
      </c>
      <c r="N843">
        <v>6.9396843967589092E-2</v>
      </c>
      <c r="O843">
        <v>1.0172944596262196E-2</v>
      </c>
      <c r="P843">
        <v>1.3293020934926045E-2</v>
      </c>
      <c r="Q843">
        <v>4.2833949068082428E-4</v>
      </c>
      <c r="R843">
        <v>8.2491494181712564E-4</v>
      </c>
      <c r="S843">
        <v>7.0790067379157967E-2</v>
      </c>
      <c r="T843">
        <v>0.83634841602219911</v>
      </c>
      <c r="U843">
        <v>0</v>
      </c>
      <c r="V843">
        <v>9.0602531324585608E-2</v>
      </c>
      <c r="W843">
        <v>4.6430162949302287E-2</v>
      </c>
      <c r="X843">
        <v>6.6018207235973717E-3</v>
      </c>
      <c r="Y843">
        <v>2.2451465384887288E-3</v>
      </c>
    </row>
    <row r="844" spans="1:25" x14ac:dyDescent="0.25">
      <c r="A844" s="1096"/>
      <c r="B844" s="1455">
        <v>594</v>
      </c>
      <c r="C844" s="1100">
        <v>0.99094762841382578</v>
      </c>
      <c r="D844" s="1100">
        <v>1.0060784588676932</v>
      </c>
      <c r="E844" s="1100">
        <v>0.98908661634138828</v>
      </c>
      <c r="F844" s="1100">
        <v>1.0077627633878814</v>
      </c>
      <c r="G844" s="1100">
        <v>1.0205638975304452</v>
      </c>
      <c r="H844" s="1100">
        <v>0.98781549918658174</v>
      </c>
      <c r="I844" s="1100">
        <v>1.0208072912347879</v>
      </c>
      <c r="K844">
        <v>1.1563992688420492</v>
      </c>
      <c r="L844">
        <v>0</v>
      </c>
      <c r="M844">
        <v>8.1452271183951477E-4</v>
      </c>
      <c r="N844">
        <v>7.2519785168812662E-2</v>
      </c>
      <c r="O844">
        <v>1.0414924252910103E-2</v>
      </c>
      <c r="P844">
        <v>1.3553161318129923E-2</v>
      </c>
      <c r="Q844">
        <v>4.4730032713395169E-4</v>
      </c>
      <c r="R844">
        <v>8.1269649248877634E-4</v>
      </c>
      <c r="S844">
        <v>7.4305567625607069E-2</v>
      </c>
      <c r="T844">
        <v>0.8347879314468214</v>
      </c>
      <c r="U844">
        <v>0</v>
      </c>
      <c r="V844">
        <v>9.3199759737094781E-2</v>
      </c>
      <c r="W844">
        <v>4.7951929970638948E-2</v>
      </c>
      <c r="X844">
        <v>7.0088432670218888E-3</v>
      </c>
      <c r="Y844">
        <v>2.2118919472277013E-3</v>
      </c>
    </row>
    <row r="845" spans="1:25" x14ac:dyDescent="0.25">
      <c r="A845" s="1096"/>
      <c r="B845" s="1455">
        <v>595</v>
      </c>
      <c r="C845" s="1100">
        <v>0.98204877033979698</v>
      </c>
      <c r="D845" s="1100">
        <v>0.97908677948537459</v>
      </c>
      <c r="E845" s="1100">
        <v>0.98559117044167455</v>
      </c>
      <c r="F845" s="1100">
        <v>1.0001274681045067</v>
      </c>
      <c r="G845" s="1100">
        <v>0.98444870325720257</v>
      </c>
      <c r="H845" s="1100">
        <v>1.0172922179871973</v>
      </c>
      <c r="I845" s="1100">
        <v>1.0128125387070457</v>
      </c>
      <c r="K845">
        <v>1.157357408677365</v>
      </c>
      <c r="L845">
        <v>0</v>
      </c>
      <c r="M845">
        <v>8.6190155770275712E-4</v>
      </c>
      <c r="N845">
        <v>7.5936157765502901E-2</v>
      </c>
      <c r="O845">
        <v>1.0623071296673441E-2</v>
      </c>
      <c r="P845">
        <v>1.3449574406240812E-2</v>
      </c>
      <c r="Q845">
        <v>4.5462836864765743E-4</v>
      </c>
      <c r="R845">
        <v>8.6002510543633256E-4</v>
      </c>
      <c r="S845">
        <v>7.6682233727492194E-2</v>
      </c>
      <c r="T845">
        <v>0.82869605427227244</v>
      </c>
      <c r="U845">
        <v>0</v>
      </c>
      <c r="V845">
        <v>9.1881496285619396E-2</v>
      </c>
      <c r="W845">
        <v>5.0316395788109265E-2</v>
      </c>
      <c r="X845">
        <v>6.9789683892751307E-3</v>
      </c>
      <c r="Y845">
        <v>2.3407048297978839E-3</v>
      </c>
    </row>
    <row r="846" spans="1:25" x14ac:dyDescent="0.25">
      <c r="A846" s="1096"/>
      <c r="B846" s="1455">
        <v>596</v>
      </c>
      <c r="C846" s="1100">
        <v>0.98086559178025301</v>
      </c>
      <c r="D846" s="1100">
        <v>1.0062722467661838</v>
      </c>
      <c r="E846" s="1100">
        <v>0.99093374331942319</v>
      </c>
      <c r="F846" s="1100">
        <v>1.0379548539549306</v>
      </c>
      <c r="G846" s="1100">
        <v>0.97471560546325109</v>
      </c>
      <c r="H846" s="1100">
        <v>0.9900955746625737</v>
      </c>
      <c r="I846" s="1100">
        <v>0.98109485028342502</v>
      </c>
      <c r="K846">
        <v>1.1797731154631164</v>
      </c>
      <c r="L846">
        <v>0</v>
      </c>
      <c r="M846">
        <v>8.2158181980206341E-4</v>
      </c>
      <c r="N846">
        <v>7.355831426985214E-2</v>
      </c>
      <c r="O846">
        <v>1.0521779546734836E-2</v>
      </c>
      <c r="P846">
        <v>1.385778627180782E-2</v>
      </c>
      <c r="Q846">
        <v>4.5273401660377228E-4</v>
      </c>
      <c r="R846">
        <v>8.197440154357684E-4</v>
      </c>
      <c r="S846">
        <v>7.2236455294960145E-2</v>
      </c>
      <c r="T846">
        <v>0.85967022858445474</v>
      </c>
      <c r="U846">
        <v>0</v>
      </c>
      <c r="V846">
        <v>9.1496595223372806E-2</v>
      </c>
      <c r="W846">
        <v>4.858484140941418E-2</v>
      </c>
      <c r="X846">
        <v>7.1651456688084968E-3</v>
      </c>
      <c r="Y846">
        <v>2.2310729814740992E-3</v>
      </c>
    </row>
    <row r="847" spans="1:25" x14ac:dyDescent="0.25">
      <c r="A847" s="1096"/>
      <c r="B847" s="1455">
        <v>597</v>
      </c>
      <c r="C847" s="1100">
        <v>1.0075538764809817</v>
      </c>
      <c r="D847" s="1100">
        <v>0.97837629759729849</v>
      </c>
      <c r="E847" s="1100">
        <v>1.0030439550357926</v>
      </c>
      <c r="F847" s="1100">
        <v>0.98389684523719612</v>
      </c>
      <c r="G847" s="1100">
        <v>0.98668736763460596</v>
      </c>
      <c r="H847" s="1100">
        <v>1.018719387943317</v>
      </c>
      <c r="I847" s="1100">
        <v>0.9771213591914123</v>
      </c>
      <c r="K847">
        <v>1.1359866580838993</v>
      </c>
      <c r="L847">
        <v>0</v>
      </c>
      <c r="M847">
        <v>8.1161271310437912E-4</v>
      </c>
      <c r="N847">
        <v>7.5379011189251582E-2</v>
      </c>
      <c r="O847">
        <v>1.0362881125429402E-2</v>
      </c>
      <c r="P847">
        <v>1.3359088579974851E-2</v>
      </c>
      <c r="Q847">
        <v>4.5136711926293757E-4</v>
      </c>
      <c r="R847">
        <v>8.0984822047934914E-4</v>
      </c>
      <c r="S847">
        <v>7.221119842989461E-2</v>
      </c>
      <c r="T847">
        <v>0.814107505253582</v>
      </c>
      <c r="U847">
        <v>0</v>
      </c>
      <c r="V847">
        <v>9.1341182962258405E-2</v>
      </c>
      <c r="W847">
        <v>4.9429486892611209E-2</v>
      </c>
      <c r="X847">
        <v>7.1425611345083051E-3</v>
      </c>
      <c r="Y847">
        <v>2.2041398897506563E-3</v>
      </c>
    </row>
    <row r="848" spans="1:25" x14ac:dyDescent="0.25">
      <c r="A848" s="1096"/>
      <c r="B848" s="1455">
        <v>598</v>
      </c>
      <c r="C848" s="1100">
        <v>0.98330093086916859</v>
      </c>
      <c r="D848" s="1100">
        <v>0.99980442880393228</v>
      </c>
      <c r="E848" s="1100">
        <v>0.96682982782272897</v>
      </c>
      <c r="F848" s="1100">
        <v>1.0006787169073292</v>
      </c>
      <c r="G848" s="1100">
        <v>0.98237029852048896</v>
      </c>
      <c r="H848" s="1100">
        <v>1.0255214297315898</v>
      </c>
      <c r="I848" s="1100">
        <v>1.0258076343814924</v>
      </c>
      <c r="K848">
        <v>1.1568999946694467</v>
      </c>
      <c r="L848">
        <v>0</v>
      </c>
      <c r="M848">
        <v>8.9454806028668938E-4</v>
      </c>
      <c r="N848">
        <v>7.4463327176254035E-2</v>
      </c>
      <c r="O848">
        <v>1.0514830353082214E-2</v>
      </c>
      <c r="P848">
        <v>1.3284623016622537E-2</v>
      </c>
      <c r="Q848">
        <v>4.4147854640664511E-4</v>
      </c>
      <c r="R848">
        <v>8.9261616084836592E-4</v>
      </c>
      <c r="S848">
        <v>7.7065176658666593E-2</v>
      </c>
      <c r="T848">
        <v>0.8304101987672714</v>
      </c>
      <c r="U848">
        <v>0</v>
      </c>
      <c r="V848">
        <v>9.1757698795548931E-2</v>
      </c>
      <c r="W848">
        <v>4.9904318235837387E-2</v>
      </c>
      <c r="X848">
        <v>6.6308680802039362E-3</v>
      </c>
      <c r="Y848">
        <v>2.42940693899091E-3</v>
      </c>
    </row>
    <row r="849" spans="1:25" x14ac:dyDescent="0.25">
      <c r="A849" s="1096"/>
      <c r="B849" s="1455">
        <v>599</v>
      </c>
      <c r="C849" s="1100">
        <v>1.0164133257797807</v>
      </c>
      <c r="D849" s="1100">
        <v>0.98278982407162452</v>
      </c>
      <c r="E849" s="1100">
        <v>0.98649561024421129</v>
      </c>
      <c r="F849" s="1100">
        <v>1.0323447764644327</v>
      </c>
      <c r="G849" s="1100">
        <v>1.008400038740342</v>
      </c>
      <c r="H849" s="1100">
        <v>1.004877532183686</v>
      </c>
      <c r="I849" s="1100">
        <v>0.96420535620896852</v>
      </c>
      <c r="K849">
        <v>1.1713300970922658</v>
      </c>
      <c r="L849">
        <v>0</v>
      </c>
      <c r="M849">
        <v>8.1982093916595526E-4</v>
      </c>
      <c r="N849">
        <v>7.2424613056024295E-2</v>
      </c>
      <c r="O849">
        <v>1.0248715001843909E-2</v>
      </c>
      <c r="P849">
        <v>1.3729042683872121E-2</v>
      </c>
      <c r="Q849">
        <v>4.3900932700574873E-4</v>
      </c>
      <c r="R849">
        <v>8.1801405027269935E-4</v>
      </c>
      <c r="S849">
        <v>6.9916166058130669E-2</v>
      </c>
      <c r="T849">
        <v>0.8553287710083034</v>
      </c>
      <c r="U849">
        <v>0</v>
      </c>
      <c r="V849">
        <v>9.2052813997006072E-2</v>
      </c>
      <c r="W849">
        <v>4.7963519590801064E-2</v>
      </c>
      <c r="X849">
        <v>7.0028886715889317E-3</v>
      </c>
      <c r="Y849">
        <v>2.2263645865830874E-3</v>
      </c>
    </row>
    <row r="850" spans="1:25" x14ac:dyDescent="0.25">
      <c r="A850" s="1096"/>
      <c r="B850" s="1455">
        <v>600</v>
      </c>
      <c r="C850" s="1100">
        <v>0.99632399395032201</v>
      </c>
      <c r="D850" s="1100">
        <v>0.99043143473668194</v>
      </c>
      <c r="E850" s="1100">
        <v>0.99219835030958681</v>
      </c>
      <c r="F850" s="1100">
        <v>0.96738699908704961</v>
      </c>
      <c r="G850" s="1100">
        <v>0.98762313258016743</v>
      </c>
      <c r="H850" s="1100">
        <v>1.0238675906816574</v>
      </c>
      <c r="I850" s="1100">
        <v>0.99589985880095289</v>
      </c>
      <c r="K850">
        <v>1.1253952553120075</v>
      </c>
      <c r="L850">
        <v>0</v>
      </c>
      <c r="M850">
        <v>8.3954717608215814E-4</v>
      </c>
      <c r="N850">
        <v>7.5460292280480248E-2</v>
      </c>
      <c r="O850">
        <v>1.0424899838969983E-2</v>
      </c>
      <c r="P850">
        <v>1.3106111424413393E-2</v>
      </c>
      <c r="Q850">
        <v>4.4913868378839599E-4</v>
      </c>
      <c r="R850">
        <v>8.377311299064726E-4</v>
      </c>
      <c r="S850">
        <v>7.4159989747395239E-2</v>
      </c>
      <c r="T850">
        <v>0.80114215574938608</v>
      </c>
      <c r="U850">
        <v>0</v>
      </c>
      <c r="V850">
        <v>9.1656741182818038E-2</v>
      </c>
      <c r="W850">
        <v>4.9803389457548655E-2</v>
      </c>
      <c r="X850">
        <v>6.9143250157690742E-3</v>
      </c>
      <c r="Y850">
        <v>2.2800279776126636E-3</v>
      </c>
    </row>
    <row r="851" spans="1:25" x14ac:dyDescent="0.25">
      <c r="A851" s="1096"/>
      <c r="B851" s="1455">
        <v>601</v>
      </c>
      <c r="C851" s="1100">
        <v>0.98257227420403404</v>
      </c>
      <c r="D851" s="1100">
        <v>0.99331224417219222</v>
      </c>
      <c r="E851" s="1100">
        <v>0.98796802791460192</v>
      </c>
      <c r="F851" s="1100">
        <v>0.9830133464030274</v>
      </c>
      <c r="G851" s="1100">
        <v>1.0103960621945365</v>
      </c>
      <c r="H851" s="1100">
        <v>1.0009389262759811</v>
      </c>
      <c r="I851" s="1100">
        <v>1.0008817561321304</v>
      </c>
      <c r="K851">
        <v>1.1389702138062192</v>
      </c>
      <c r="L851">
        <v>0</v>
      </c>
      <c r="M851">
        <v>8.3858182902608847E-4</v>
      </c>
      <c r="N851">
        <v>7.4411938500015512E-2</v>
      </c>
      <c r="O851">
        <v>1.0557118505499039E-2</v>
      </c>
      <c r="P851">
        <v>1.3265464231305162E-2</v>
      </c>
      <c r="Q851">
        <v>4.5289452287017242E-4</v>
      </c>
      <c r="R851">
        <v>8.3672631839796987E-4</v>
      </c>
      <c r="S851">
        <v>7.4504051493151577E-2</v>
      </c>
      <c r="T851">
        <v>0.8143597704469403</v>
      </c>
      <c r="U851">
        <v>0</v>
      </c>
      <c r="V851">
        <v>9.2977961823245969E-2</v>
      </c>
      <c r="W851">
        <v>4.9236090587415127E-2</v>
      </c>
      <c r="X851">
        <v>6.929485994482623E-3</v>
      </c>
      <c r="Y851">
        <v>2.2772932119225443E-3</v>
      </c>
    </row>
    <row r="852" spans="1:25" x14ac:dyDescent="0.25">
      <c r="A852" s="1096"/>
      <c r="B852" s="1455">
        <v>602</v>
      </c>
      <c r="C852" s="1100">
        <v>1.0110250798991727</v>
      </c>
      <c r="D852" s="1100">
        <v>0.97306988165514374</v>
      </c>
      <c r="E852" s="1100">
        <v>0.98464795331238597</v>
      </c>
      <c r="F852" s="1100">
        <v>0.99265896198212422</v>
      </c>
      <c r="G852" s="1100">
        <v>1.0065549182116404</v>
      </c>
      <c r="H852" s="1100">
        <v>0.99650587459748974</v>
      </c>
      <c r="I852" s="1100">
        <v>0.97454148254567508</v>
      </c>
      <c r="K852">
        <v>1.1392309476321485</v>
      </c>
      <c r="L852">
        <v>0</v>
      </c>
      <c r="M852">
        <v>8.2372362404949052E-4</v>
      </c>
      <c r="N852">
        <v>7.2362533246976807E-2</v>
      </c>
      <c r="O852">
        <v>1.0343777155128749E-2</v>
      </c>
      <c r="P852">
        <v>1.3284738707814169E-2</v>
      </c>
      <c r="Q852">
        <v>4.422526295475769E-4</v>
      </c>
      <c r="R852">
        <v>8.2189288166542444E-4</v>
      </c>
      <c r="S852">
        <v>7.1071931303301916E-2</v>
      </c>
      <c r="T852">
        <v>0.82257015960005264</v>
      </c>
      <c r="U852">
        <v>0</v>
      </c>
      <c r="V852">
        <v>9.2103593185788979E-2</v>
      </c>
      <c r="W852">
        <v>4.7975666105586581E-2</v>
      </c>
      <c r="X852">
        <v>6.8412049533581711E-3</v>
      </c>
      <c r="Y852">
        <v>2.2369214869776602E-3</v>
      </c>
    </row>
    <row r="853" spans="1:25" x14ac:dyDescent="0.25">
      <c r="A853" s="1096"/>
      <c r="B853" s="1455">
        <v>603</v>
      </c>
      <c r="C853" s="1100">
        <v>1.0189833991857862</v>
      </c>
      <c r="D853" s="1100">
        <v>1.0121789158167132</v>
      </c>
      <c r="E853" s="1100">
        <v>0.95798817329641184</v>
      </c>
      <c r="F853" s="1100">
        <v>0.99718933160840617</v>
      </c>
      <c r="G853" s="1100">
        <v>1.0292837584712198</v>
      </c>
      <c r="H853" s="1100">
        <v>0.99770847667460782</v>
      </c>
      <c r="I853" s="1100">
        <v>0.97871043850024086</v>
      </c>
      <c r="K853">
        <v>1.1381052016408078</v>
      </c>
      <c r="L853">
        <v>0</v>
      </c>
      <c r="M853">
        <v>8.5106463430801454E-4</v>
      </c>
      <c r="N853">
        <v>6.8967084788476768E-2</v>
      </c>
      <c r="O853">
        <v>1.0094013670004742E-2</v>
      </c>
      <c r="P853">
        <v>1.3077516843270659E-2</v>
      </c>
      <c r="Q853">
        <v>4.1998123917886068E-4</v>
      </c>
      <c r="R853">
        <v>8.4917540593310037E-4</v>
      </c>
      <c r="S853">
        <v>6.9416268863556271E-2</v>
      </c>
      <c r="T853">
        <v>0.82810897502791736</v>
      </c>
      <c r="U853">
        <v>0</v>
      </c>
      <c r="V853">
        <v>9.2881502444983055E-2</v>
      </c>
      <c r="W853">
        <v>4.6471724258183585E-2</v>
      </c>
      <c r="X853">
        <v>6.3588482092575708E-3</v>
      </c>
      <c r="Y853">
        <v>2.3111755243525661E-3</v>
      </c>
    </row>
    <row r="854" spans="1:25" x14ac:dyDescent="0.25">
      <c r="A854" s="1096"/>
      <c r="B854" s="1455">
        <v>604</v>
      </c>
      <c r="C854" s="1100">
        <v>1.0281256031474948</v>
      </c>
      <c r="D854" s="1100">
        <v>1.045425029465868</v>
      </c>
      <c r="E854" s="1100">
        <v>1.0224996643393927</v>
      </c>
      <c r="F854" s="1100">
        <v>1.0048712134537401</v>
      </c>
      <c r="G854" s="1100">
        <v>1.0083741231403058</v>
      </c>
      <c r="H854" s="1100">
        <v>0.97409407095849798</v>
      </c>
      <c r="I854" s="1100">
        <v>0.97220362922675341</v>
      </c>
      <c r="K854">
        <v>1.1371635613934081</v>
      </c>
      <c r="L854">
        <v>0</v>
      </c>
      <c r="M854">
        <v>7.1128101113795213E-4</v>
      </c>
      <c r="N854">
        <v>7.0049222462792882E-2</v>
      </c>
      <c r="O854">
        <v>9.8959038637648072E-3</v>
      </c>
      <c r="P854">
        <v>1.370046627599994E-2</v>
      </c>
      <c r="Q854">
        <v>4.3947935481003503E-4</v>
      </c>
      <c r="R854">
        <v>7.0966380309495103E-4</v>
      </c>
      <c r="S854">
        <v>6.6395578019676493E-2</v>
      </c>
      <c r="T854">
        <v>0.83017611949088488</v>
      </c>
      <c r="U854">
        <v>0</v>
      </c>
      <c r="V854">
        <v>9.1778918588641289E-2</v>
      </c>
      <c r="W854">
        <v>4.54116537218789E-2</v>
      </c>
      <c r="X854">
        <v>7.3863658915869733E-3</v>
      </c>
      <c r="Y854">
        <v>1.9314709314146392E-3</v>
      </c>
    </row>
    <row r="855" spans="1:25" x14ac:dyDescent="0.25">
      <c r="A855" s="1096"/>
      <c r="B855" s="1455">
        <v>605</v>
      </c>
      <c r="C855" s="1100">
        <v>1.016095303748666</v>
      </c>
      <c r="D855" s="1100">
        <v>1.0044104274661327</v>
      </c>
      <c r="E855" s="1100">
        <v>1.0009065463615332</v>
      </c>
      <c r="F855" s="1100">
        <v>1.0089914425871149</v>
      </c>
      <c r="G855" s="1100">
        <v>0.99603479693272812</v>
      </c>
      <c r="H855" s="1100">
        <v>0.98500141773543237</v>
      </c>
      <c r="I855" s="1100">
        <v>1.0173863799156657</v>
      </c>
      <c r="K855">
        <v>1.1504300660631031</v>
      </c>
      <c r="L855">
        <v>0</v>
      </c>
      <c r="M855">
        <v>7.7344411343303594E-4</v>
      </c>
      <c r="N855">
        <v>7.1366444411930047E-2</v>
      </c>
      <c r="O855">
        <v>1.0167703433443552E-2</v>
      </c>
      <c r="P855">
        <v>1.3625253395895976E-2</v>
      </c>
      <c r="Q855">
        <v>4.4191650243387336E-4</v>
      </c>
      <c r="R855">
        <v>7.7170504104067761E-4</v>
      </c>
      <c r="S855">
        <v>7.2184665352658356E-2</v>
      </c>
      <c r="T855">
        <v>0.83501421326182823</v>
      </c>
      <c r="U855">
        <v>0</v>
      </c>
      <c r="V855">
        <v>9.1533706646411889E-2</v>
      </c>
      <c r="W855">
        <v>4.6857657808666402E-2</v>
      </c>
      <c r="X855">
        <v>7.1399175930114724E-3</v>
      </c>
      <c r="Y855">
        <v>2.1003267292143152E-3</v>
      </c>
    </row>
    <row r="856" spans="1:25" x14ac:dyDescent="0.25">
      <c r="A856" s="1096"/>
      <c r="B856" s="1455">
        <v>606</v>
      </c>
      <c r="C856" s="1100">
        <v>1.0068982544478207</v>
      </c>
      <c r="D856" s="1100">
        <v>0.97634146446083792</v>
      </c>
      <c r="E856" s="1100">
        <v>0.96865327503645315</v>
      </c>
      <c r="F856" s="1100">
        <v>0.99697499840027226</v>
      </c>
      <c r="G856" s="1100">
        <v>0.96296350086571936</v>
      </c>
      <c r="H856" s="1100">
        <v>1.0032193883998017</v>
      </c>
      <c r="I856" s="1100">
        <v>1.0082175896645955</v>
      </c>
      <c r="K856">
        <v>1.1445407220301134</v>
      </c>
      <c r="L856">
        <v>0</v>
      </c>
      <c r="M856">
        <v>8.5950176032741055E-4</v>
      </c>
      <c r="N856">
        <v>7.1938744804146498E-2</v>
      </c>
      <c r="O856">
        <v>1.0367007185591416E-2</v>
      </c>
      <c r="P856">
        <v>1.320040519330264E-2</v>
      </c>
      <c r="Q856">
        <v>4.3608500151685268E-4</v>
      </c>
      <c r="R856">
        <v>8.576042837153999E-4</v>
      </c>
      <c r="S856">
        <v>7.3958953741572797E-2</v>
      </c>
      <c r="T856">
        <v>0.82721442655589339</v>
      </c>
      <c r="U856">
        <v>0</v>
      </c>
      <c r="V856">
        <v>9.0337485424007741E-2</v>
      </c>
      <c r="W856">
        <v>4.815880425222821E-2</v>
      </c>
      <c r="X856">
        <v>6.5965911973687201E-3</v>
      </c>
      <c r="Y856">
        <v>2.3341161510971715E-3</v>
      </c>
    </row>
    <row r="857" spans="1:25" x14ac:dyDescent="0.25">
      <c r="A857" s="1096"/>
      <c r="B857" s="1455">
        <v>607</v>
      </c>
      <c r="C857" s="1100">
        <v>1.0173196034594343</v>
      </c>
      <c r="D857" s="1100">
        <v>1.0178042562910976</v>
      </c>
      <c r="E857" s="1100">
        <v>0.9832351558291923</v>
      </c>
      <c r="F857" s="1100">
        <v>1.0134344820923529</v>
      </c>
      <c r="G857" s="1100">
        <v>0.99304434424436905</v>
      </c>
      <c r="H857" s="1100">
        <v>0.99101873055001444</v>
      </c>
      <c r="I857" s="1100">
        <v>1.007617026987581</v>
      </c>
      <c r="K857">
        <v>1.1521308227512852</v>
      </c>
      <c r="L857">
        <v>0</v>
      </c>
      <c r="M857">
        <v>8.0195402578790449E-4</v>
      </c>
      <c r="N857">
        <v>7.0148831232215672E-2</v>
      </c>
      <c r="O857">
        <v>1.0096159756182964E-2</v>
      </c>
      <c r="P857">
        <v>1.3494640488110044E-2</v>
      </c>
      <c r="Q857">
        <v>4.3104758507456399E-4</v>
      </c>
      <c r="R857">
        <v>8.001617980814208E-4</v>
      </c>
      <c r="S857">
        <v>7.1141461170240186E-2</v>
      </c>
      <c r="T857">
        <v>0.83988139839095877</v>
      </c>
      <c r="U857">
        <v>0</v>
      </c>
      <c r="V857">
        <v>9.1374016357567631E-2</v>
      </c>
      <c r="W857">
        <v>4.6547571048746017E-2</v>
      </c>
      <c r="X857">
        <v>6.8397123087831019E-3</v>
      </c>
      <c r="Y857">
        <v>2.1777766411117802E-3</v>
      </c>
    </row>
    <row r="858" spans="1:25" x14ac:dyDescent="0.25">
      <c r="A858" s="1096"/>
      <c r="B858" s="1455">
        <v>608</v>
      </c>
      <c r="C858" s="1100">
        <v>1.023637761028011</v>
      </c>
      <c r="D858" s="1100">
        <v>0.99947193514029076</v>
      </c>
      <c r="E858" s="1100">
        <v>1.0015971532583439</v>
      </c>
      <c r="F858" s="1100">
        <v>0.99472080482346792</v>
      </c>
      <c r="G858" s="1100">
        <v>1.0055161857184194</v>
      </c>
      <c r="H858" s="1100">
        <v>0.97630500382294427</v>
      </c>
      <c r="I858" s="1100">
        <v>0.98397756191002461</v>
      </c>
      <c r="K858">
        <v>1.1337712438656655</v>
      </c>
      <c r="L858">
        <v>0</v>
      </c>
      <c r="M858">
        <v>7.6137695344009274E-4</v>
      </c>
      <c r="N858">
        <v>7.0398303043282567E-2</v>
      </c>
      <c r="O858">
        <v>1.0112924076283085E-2</v>
      </c>
      <c r="P858">
        <v>1.3431914398536204E-2</v>
      </c>
      <c r="Q858">
        <v>4.3984065308375091E-4</v>
      </c>
      <c r="R858">
        <v>7.5964976473427465E-4</v>
      </c>
      <c r="S858">
        <v>6.9136336074204691E-2</v>
      </c>
      <c r="T858">
        <v>0.82315876457023707</v>
      </c>
      <c r="U858">
        <v>0</v>
      </c>
      <c r="V858">
        <v>9.1759438713095637E-2</v>
      </c>
      <c r="W858">
        <v>4.6203047600916404E-2</v>
      </c>
      <c r="X858">
        <v>7.0648856836021089E-3</v>
      </c>
      <c r="Y858">
        <v>2.0675162411290518E-3</v>
      </c>
    </row>
    <row r="859" spans="1:25" x14ac:dyDescent="0.25">
      <c r="A859" s="1096"/>
      <c r="B859" s="1455">
        <v>609</v>
      </c>
      <c r="C859" s="1100">
        <v>0.96441758292329749</v>
      </c>
      <c r="D859" s="1100">
        <v>1.0003793143154058</v>
      </c>
      <c r="E859" s="1100">
        <v>1.0222749060536247</v>
      </c>
      <c r="F859" s="1100">
        <v>0.99255671855251038</v>
      </c>
      <c r="G859" s="1100">
        <v>0.98788543862616751</v>
      </c>
      <c r="H859" s="1100">
        <v>1.0279925682488955</v>
      </c>
      <c r="I859" s="1100">
        <v>1.0388287499544158</v>
      </c>
      <c r="K859">
        <v>1.1592905578089281</v>
      </c>
      <c r="L859">
        <v>0</v>
      </c>
      <c r="M859">
        <v>8.1482771039449319E-4</v>
      </c>
      <c r="N859">
        <v>8.0202029969595134E-2</v>
      </c>
      <c r="O859">
        <v>1.0737043270129585E-2</v>
      </c>
      <c r="P859">
        <v>1.3752342272836881E-2</v>
      </c>
      <c r="Q859">
        <v>4.7672815512904225E-4</v>
      </c>
      <c r="R859">
        <v>8.1307220813483486E-4</v>
      </c>
      <c r="S859">
        <v>7.9727506573953125E-2</v>
      </c>
      <c r="T859">
        <v>0.82001708534424522</v>
      </c>
      <c r="U859">
        <v>0</v>
      </c>
      <c r="V859">
        <v>9.249612770118025E-2</v>
      </c>
      <c r="W859">
        <v>5.2000361159111073E-2</v>
      </c>
      <c r="X859">
        <v>7.6701743436438964E-3</v>
      </c>
      <c r="Y859">
        <v>2.2129145213616434E-3</v>
      </c>
    </row>
    <row r="860" spans="1:25" x14ac:dyDescent="0.25">
      <c r="A860" s="1096"/>
      <c r="B860" s="1455">
        <v>610</v>
      </c>
      <c r="C860" s="1100">
        <v>1.0007043047781705</v>
      </c>
      <c r="D860" s="1100">
        <v>0.97937337702594363</v>
      </c>
      <c r="E860" s="1100">
        <v>1.0022320552504631</v>
      </c>
      <c r="F860" s="1100">
        <v>1.0233361054730847</v>
      </c>
      <c r="G860" s="1100">
        <v>1.0213994510933264</v>
      </c>
      <c r="H860" s="1100">
        <v>1.0296507595637698</v>
      </c>
      <c r="I860" s="1100">
        <v>0.99589301686527687</v>
      </c>
      <c r="K860">
        <v>1.1754891805936352</v>
      </c>
      <c r="L860">
        <v>0</v>
      </c>
      <c r="M860">
        <v>8.2699233138378828E-4</v>
      </c>
      <c r="N860">
        <v>7.6621039206403216E-2</v>
      </c>
      <c r="O860">
        <v>1.0429294307657475E-2</v>
      </c>
      <c r="P860">
        <v>1.3851309375369226E-2</v>
      </c>
      <c r="Q860">
        <v>4.5388978910364236E-4</v>
      </c>
      <c r="R860">
        <v>8.2521349044416498E-4</v>
      </c>
      <c r="S860">
        <v>7.450887301845896E-2</v>
      </c>
      <c r="T860">
        <v>0.84679573702496824</v>
      </c>
      <c r="U860">
        <v>0</v>
      </c>
      <c r="V860">
        <v>9.2993426754932482E-2</v>
      </c>
      <c r="W860">
        <v>5.0268142376715827E-2</v>
      </c>
      <c r="X860">
        <v>7.323288491528984E-3</v>
      </c>
      <c r="Y860">
        <v>2.2459590894350029E-3</v>
      </c>
    </row>
    <row r="861" spans="1:25" x14ac:dyDescent="0.25">
      <c r="A861" s="1096"/>
      <c r="B861" s="1455">
        <v>611</v>
      </c>
      <c r="C861" s="1100">
        <v>0.99838525337720663</v>
      </c>
      <c r="D861" s="1100">
        <v>1.0095071852916901</v>
      </c>
      <c r="E861" s="1100">
        <v>1.0254059688942021</v>
      </c>
      <c r="F861" s="1100">
        <v>0.99623950638437886</v>
      </c>
      <c r="G861" s="1100">
        <v>1.0017755887816853</v>
      </c>
      <c r="H861" s="1100">
        <v>1.0116408452187855</v>
      </c>
      <c r="I861" s="1100">
        <v>0.97504295580471345</v>
      </c>
      <c r="K861">
        <v>1.1460237575549965</v>
      </c>
      <c r="L861">
        <v>0</v>
      </c>
      <c r="M861">
        <v>7.6676154117247112E-4</v>
      </c>
      <c r="N861">
        <v>7.6184358211903599E-2</v>
      </c>
      <c r="O861">
        <v>1.0335152955031717E-2</v>
      </c>
      <c r="P861">
        <v>1.3702301549932858E-2</v>
      </c>
      <c r="Q861">
        <v>4.6031167925027308E-4</v>
      </c>
      <c r="R861">
        <v>7.6508289353426539E-4</v>
      </c>
      <c r="S861">
        <v>7.1307229522352605E-2</v>
      </c>
      <c r="T861">
        <v>0.82285557942462728</v>
      </c>
      <c r="U861">
        <v>0</v>
      </c>
      <c r="V861">
        <v>9.2215701738549122E-2</v>
      </c>
      <c r="W861">
        <v>4.930530537497288E-2</v>
      </c>
      <c r="X861">
        <v>7.5771923193206124E-3</v>
      </c>
      <c r="Y861">
        <v>2.0823034266921996E-3</v>
      </c>
    </row>
    <row r="862" spans="1:25" x14ac:dyDescent="0.25">
      <c r="A862" s="1096"/>
      <c r="B862" s="1455">
        <v>612</v>
      </c>
      <c r="C862" s="1100">
        <v>1.0183277018531263</v>
      </c>
      <c r="D862" s="1100">
        <v>1.001033002332383</v>
      </c>
      <c r="E862" s="1100">
        <v>0.99856786372688566</v>
      </c>
      <c r="F862" s="1100">
        <v>1.0141770336706479</v>
      </c>
      <c r="G862" s="1100">
        <v>0.99633744402533309</v>
      </c>
      <c r="H862" s="1100">
        <v>0.98742403875454654</v>
      </c>
      <c r="I862" s="1100">
        <v>1.0137860720529603</v>
      </c>
      <c r="K862">
        <v>1.1546533706245181</v>
      </c>
      <c r="L862">
        <v>0</v>
      </c>
      <c r="M862">
        <v>7.7845682530116905E-4</v>
      </c>
      <c r="N862">
        <v>7.1323626239174515E-2</v>
      </c>
      <c r="O862">
        <v>1.0158340431712869E-2</v>
      </c>
      <c r="P862">
        <v>1.3658849685395148E-2</v>
      </c>
      <c r="Q862">
        <v>4.4047273021782926E-4</v>
      </c>
      <c r="R862">
        <v>7.7671077635954231E-4</v>
      </c>
      <c r="S862">
        <v>7.1991319903365408E-2</v>
      </c>
      <c r="T862">
        <v>0.8394627162921553</v>
      </c>
      <c r="U862">
        <v>0</v>
      </c>
      <c r="V862">
        <v>9.1492838401826121E-2</v>
      </c>
      <c r="W862">
        <v>4.6894695480519374E-2</v>
      </c>
      <c r="X862">
        <v>7.1183068184793611E-3</v>
      </c>
      <c r="Y862">
        <v>2.11395069061206E-3</v>
      </c>
    </row>
    <row r="863" spans="1:25" x14ac:dyDescent="0.25">
      <c r="A863" s="1096"/>
      <c r="B863" s="1455">
        <v>613</v>
      </c>
      <c r="C863" s="1100">
        <v>1.0010825870073685</v>
      </c>
      <c r="D863" s="1100">
        <v>1.0125928693357875</v>
      </c>
      <c r="E863" s="1100">
        <v>1.04334977930516</v>
      </c>
      <c r="F863" s="1100">
        <v>0.96919105477661738</v>
      </c>
      <c r="G863" s="1100">
        <v>0.95138200229212633</v>
      </c>
      <c r="H863" s="1100">
        <v>1.01398658837486</v>
      </c>
      <c r="I863" s="1100">
        <v>0.96094350197340672</v>
      </c>
      <c r="K863">
        <v>1.1203869118814418</v>
      </c>
      <c r="L863">
        <v>0</v>
      </c>
      <c r="M863">
        <v>7.3742026656281059E-4</v>
      </c>
      <c r="N863">
        <v>7.7340592040209988E-2</v>
      </c>
      <c r="O863">
        <v>1.0300597840224815E-2</v>
      </c>
      <c r="P863">
        <v>1.3502912846022395E-2</v>
      </c>
      <c r="Q863">
        <v>4.6696451462639645E-4</v>
      </c>
      <c r="R863">
        <v>7.3580958964014425E-4</v>
      </c>
      <c r="S863">
        <v>7.0088808588774643E-2</v>
      </c>
      <c r="T863">
        <v>0.7993826092382964</v>
      </c>
      <c r="U863">
        <v>0</v>
      </c>
      <c r="V863">
        <v>8.9998820251650666E-2</v>
      </c>
      <c r="W863">
        <v>4.9536714950062864E-2</v>
      </c>
      <c r="X863">
        <v>7.767871145062083E-3</v>
      </c>
      <c r="Y863">
        <v>2.002631143434437E-3</v>
      </c>
    </row>
    <row r="864" spans="1:25" x14ac:dyDescent="0.25">
      <c r="A864" s="1096"/>
      <c r="B864" s="1455">
        <v>614</v>
      </c>
      <c r="C864" s="1100">
        <v>0.99074552100243929</v>
      </c>
      <c r="D864" s="1100">
        <v>1.0111153512380884</v>
      </c>
      <c r="E864" s="1100">
        <v>1.0314689767518139</v>
      </c>
      <c r="F864" s="1100">
        <v>1.007729023301944</v>
      </c>
      <c r="G864" s="1100">
        <v>1.0188890653814091</v>
      </c>
      <c r="H864" s="1100">
        <v>0.99586749895062632</v>
      </c>
      <c r="I864" s="1100">
        <v>1.0078008938106366</v>
      </c>
      <c r="K864">
        <v>1.158189186459619</v>
      </c>
      <c r="L864">
        <v>0</v>
      </c>
      <c r="M864">
        <v>7.5060155642394408E-4</v>
      </c>
      <c r="N864">
        <v>7.5951880967852908E-2</v>
      </c>
      <c r="O864">
        <v>1.0410221947810938E-2</v>
      </c>
      <c r="P864">
        <v>1.3934227986484636E-2</v>
      </c>
      <c r="Q864">
        <v>4.6644524778438075E-4</v>
      </c>
      <c r="R864">
        <v>7.4893225993663483E-4</v>
      </c>
      <c r="S864">
        <v>7.3567752966672242E-2</v>
      </c>
      <c r="T864">
        <v>0.8319466079737583</v>
      </c>
      <c r="U864">
        <v>0</v>
      </c>
      <c r="V864">
        <v>9.313956453544904E-2</v>
      </c>
      <c r="W864">
        <v>4.8981945164455205E-2</v>
      </c>
      <c r="X864">
        <v>7.7538622397432203E-3</v>
      </c>
      <c r="Y864">
        <v>2.0383467260943833E-3</v>
      </c>
    </row>
    <row r="865" spans="1:25" x14ac:dyDescent="0.25">
      <c r="A865" s="1096"/>
      <c r="B865" s="1455">
        <v>615</v>
      </c>
      <c r="C865" s="1100">
        <v>0.98501198605731588</v>
      </c>
      <c r="D865" s="1100">
        <v>1.0132353105471066</v>
      </c>
      <c r="E865" s="1100">
        <v>1.0341643171853581</v>
      </c>
      <c r="F865" s="1100">
        <v>1.0030077836252727</v>
      </c>
      <c r="G865" s="1100">
        <v>0.99585843153263354</v>
      </c>
      <c r="H865" s="1100">
        <v>0.99768084126451717</v>
      </c>
      <c r="I865" s="1100">
        <v>1.0172782464546009</v>
      </c>
      <c r="K865">
        <v>1.1555705009457755</v>
      </c>
      <c r="L865">
        <v>0</v>
      </c>
      <c r="M865">
        <v>7.5147763360223141E-4</v>
      </c>
      <c r="N865">
        <v>7.6661080547614599E-2</v>
      </c>
      <c r="O865">
        <v>1.0462944221667629E-2</v>
      </c>
      <c r="P865">
        <v>1.3908547003065281E-2</v>
      </c>
      <c r="Q865">
        <v>4.7005658881288235E-4</v>
      </c>
      <c r="R865">
        <v>7.4980942635118205E-4</v>
      </c>
      <c r="S865">
        <v>7.4690668649830427E-2</v>
      </c>
      <c r="T865">
        <v>0.82787280839236099</v>
      </c>
      <c r="U865">
        <v>0</v>
      </c>
      <c r="V865">
        <v>9.2301563939132469E-2</v>
      </c>
      <c r="W865">
        <v>4.9362192538096379E-2</v>
      </c>
      <c r="X865">
        <v>7.801573188528128E-3</v>
      </c>
      <c r="Y865">
        <v>2.0407340839169509E-3</v>
      </c>
    </row>
    <row r="866" spans="1:25" x14ac:dyDescent="0.25">
      <c r="A866" s="1096"/>
      <c r="B866" s="1455">
        <v>616</v>
      </c>
      <c r="C866" s="1100">
        <v>1.0410593427793797</v>
      </c>
      <c r="D866" s="1100">
        <v>1.0165610859141878</v>
      </c>
      <c r="E866" s="1100">
        <v>0.97447403341707106</v>
      </c>
      <c r="F866" s="1100">
        <v>1.0266487111654607</v>
      </c>
      <c r="G866" s="1100">
        <v>0.98129839516040285</v>
      </c>
      <c r="H866" s="1100">
        <v>0.99796698116342342</v>
      </c>
      <c r="I866" s="1100">
        <v>1.0214584691835638</v>
      </c>
      <c r="K866">
        <v>1.1594071592836255</v>
      </c>
      <c r="L866">
        <v>0</v>
      </c>
      <c r="M866">
        <v>8.0397826402505053E-4</v>
      </c>
      <c r="N866">
        <v>6.8487091289141225E-2</v>
      </c>
      <c r="O866">
        <v>9.8680297843109673E-3</v>
      </c>
      <c r="P866">
        <v>1.3540445188276072E-2</v>
      </c>
      <c r="Q866">
        <v>4.1757037802803198E-4</v>
      </c>
      <c r="R866">
        <v>8.0219402221070549E-4</v>
      </c>
      <c r="S866">
        <v>7.0783896694952761E-2</v>
      </c>
      <c r="T866">
        <v>0.85143429934611636</v>
      </c>
      <c r="U866">
        <v>0</v>
      </c>
      <c r="V866">
        <v>9.0315215494565754E-2</v>
      </c>
      <c r="W866">
        <v>4.5686184606813125E-2</v>
      </c>
      <c r="X866">
        <v>6.6929030579674122E-3</v>
      </c>
      <c r="Y866">
        <v>2.1833076852691901E-3</v>
      </c>
    </row>
    <row r="867" spans="1:25" x14ac:dyDescent="0.25">
      <c r="A867" s="1096"/>
      <c r="B867" s="1455">
        <v>617</v>
      </c>
      <c r="C867" s="1100">
        <v>1.0317148263331655</v>
      </c>
      <c r="D867" s="1100">
        <v>0.99496101355211297</v>
      </c>
      <c r="E867" s="1100">
        <v>0.98828506766494306</v>
      </c>
      <c r="F867" s="1100">
        <v>1.0107392632404792</v>
      </c>
      <c r="G867" s="1100">
        <v>0.99723376722482449</v>
      </c>
      <c r="H867" s="1100">
        <v>1.0145215101037328</v>
      </c>
      <c r="I867" s="1100">
        <v>1.0197416194625077</v>
      </c>
      <c r="K867">
        <v>1.15372978209879</v>
      </c>
      <c r="L867">
        <v>0</v>
      </c>
      <c r="M867">
        <v>8.0840831791797953E-4</v>
      </c>
      <c r="N867">
        <v>7.180541360567147E-2</v>
      </c>
      <c r="O867">
        <v>1.0047695570368402E-2</v>
      </c>
      <c r="P867">
        <v>1.3531492189019566E-2</v>
      </c>
      <c r="Q867">
        <v>4.3117885584407562E-4</v>
      </c>
      <c r="R867">
        <v>8.0664351955662939E-4</v>
      </c>
      <c r="S867">
        <v>7.2778321195784049E-2</v>
      </c>
      <c r="T867">
        <v>0.83730747068204348</v>
      </c>
      <c r="U867">
        <v>0</v>
      </c>
      <c r="V867">
        <v>9.1214007748399453E-2</v>
      </c>
      <c r="W867">
        <v>4.7502397061315906E-2</v>
      </c>
      <c r="X867">
        <v>6.9181522384363977E-3</v>
      </c>
      <c r="Y867">
        <v>2.1954177502683885E-3</v>
      </c>
    </row>
    <row r="868" spans="1:25" x14ac:dyDescent="0.25">
      <c r="A868" s="1096"/>
      <c r="B868" s="1455">
        <v>618</v>
      </c>
      <c r="C868" s="1100">
        <v>0.97541635454746645</v>
      </c>
      <c r="D868" s="1100">
        <v>0.96761193392296185</v>
      </c>
      <c r="E868" s="1100">
        <v>1.0034650902487918</v>
      </c>
      <c r="F868" s="1100">
        <v>0.98398875235231942</v>
      </c>
      <c r="G868" s="1100">
        <v>0.98951343235687717</v>
      </c>
      <c r="H868" s="1100">
        <v>1.0020387698164384</v>
      </c>
      <c r="I868" s="1100">
        <v>0.97594535820063288</v>
      </c>
      <c r="K868">
        <v>1.1421910338608861</v>
      </c>
      <c r="L868">
        <v>0</v>
      </c>
      <c r="M868">
        <v>8.2755972700386223E-4</v>
      </c>
      <c r="N868">
        <v>7.6955139336855133E-2</v>
      </c>
      <c r="O868">
        <v>1.0751930063076535E-2</v>
      </c>
      <c r="P868">
        <v>1.3404403178780501E-2</v>
      </c>
      <c r="Q868">
        <v>4.685105195235797E-4</v>
      </c>
      <c r="R868">
        <v>8.2573061457648388E-4</v>
      </c>
      <c r="S868">
        <v>7.4237017734526664E-2</v>
      </c>
      <c r="T868">
        <v>0.81415616106524524</v>
      </c>
      <c r="U868">
        <v>0</v>
      </c>
      <c r="V868">
        <v>9.2272524064811345E-2</v>
      </c>
      <c r="W868">
        <v>5.0450429752427049E-2</v>
      </c>
      <c r="X868">
        <v>7.2493807272125434E-3</v>
      </c>
      <c r="Y868">
        <v>2.24736653085325E-3</v>
      </c>
    </row>
    <row r="869" spans="1:25" x14ac:dyDescent="0.25">
      <c r="A869" s="1096"/>
      <c r="B869" s="1455">
        <v>619</v>
      </c>
      <c r="C869" s="1100">
        <v>0.9967865272429004</v>
      </c>
      <c r="D869" s="1100">
        <v>1.0149817082674868</v>
      </c>
      <c r="E869" s="1100">
        <v>1.0271312705770963</v>
      </c>
      <c r="F869" s="1100">
        <v>1.0246153843579673</v>
      </c>
      <c r="G869" s="1100">
        <v>0.99057655532803035</v>
      </c>
      <c r="H869" s="1100">
        <v>1.030889674104309</v>
      </c>
      <c r="I869" s="1100">
        <v>1.0158559320338885</v>
      </c>
      <c r="K869">
        <v>1.1756656375967582</v>
      </c>
      <c r="L869">
        <v>0</v>
      </c>
      <c r="M869">
        <v>7.7811206228307428E-4</v>
      </c>
      <c r="N869">
        <v>7.7718576138215922E-2</v>
      </c>
      <c r="O869">
        <v>1.0329924737428076E-2</v>
      </c>
      <c r="P869">
        <v>1.4089212463557195E-2</v>
      </c>
      <c r="Q869">
        <v>4.608659057050365E-4</v>
      </c>
      <c r="R869">
        <v>7.7644037308521516E-4</v>
      </c>
      <c r="S869">
        <v>7.5001039196572167E-2</v>
      </c>
      <c r="T869">
        <v>0.84617743520047906</v>
      </c>
      <c r="U869">
        <v>0</v>
      </c>
      <c r="V869">
        <v>9.1777223517828271E-2</v>
      </c>
      <c r="W869">
        <v>5.0247730970300629E-2</v>
      </c>
      <c r="X869">
        <v>7.7520864138319028E-3</v>
      </c>
      <c r="Y869">
        <v>2.1132147420377572E-3</v>
      </c>
    </row>
    <row r="870" spans="1:25" x14ac:dyDescent="0.25">
      <c r="A870" s="1096"/>
      <c r="B870" s="1455">
        <v>620</v>
      </c>
      <c r="C870" s="1100">
        <v>0.99575522387183213</v>
      </c>
      <c r="D870" s="1100">
        <v>1.0225889938003252</v>
      </c>
      <c r="E870" s="1100">
        <v>0.99666939966572876</v>
      </c>
      <c r="F870" s="1100">
        <v>0.99950969717978255</v>
      </c>
      <c r="G870" s="1100">
        <v>0.99764098558753012</v>
      </c>
      <c r="H870" s="1100">
        <v>0.9770617760570296</v>
      </c>
      <c r="I870" s="1100">
        <v>0.99656884877205876</v>
      </c>
      <c r="K870">
        <v>1.142565924155416</v>
      </c>
      <c r="L870">
        <v>0</v>
      </c>
      <c r="M870">
        <v>7.8414495494371792E-4</v>
      </c>
      <c r="N870">
        <v>7.1432109873889565E-2</v>
      </c>
      <c r="O870">
        <v>1.0299842250374528E-2</v>
      </c>
      <c r="P870">
        <v>1.3473101862593612E-2</v>
      </c>
      <c r="Q870">
        <v>4.4575577700043919E-4</v>
      </c>
      <c r="R870">
        <v>7.8236749465343503E-4</v>
      </c>
      <c r="S870">
        <v>7.1164634665651316E-2</v>
      </c>
      <c r="T870">
        <v>0.82744792342411322</v>
      </c>
      <c r="U870">
        <v>0</v>
      </c>
      <c r="V870">
        <v>9.2099956306813918E-2</v>
      </c>
      <c r="W870">
        <v>4.7019146137137785E-2</v>
      </c>
      <c r="X870">
        <v>7.0558849050602898E-3</v>
      </c>
      <c r="Y870">
        <v>2.1293464130713517E-3</v>
      </c>
    </row>
    <row r="871" spans="1:25" x14ac:dyDescent="0.25">
      <c r="A871" s="1096"/>
      <c r="B871" s="1455">
        <v>621</v>
      </c>
      <c r="C871" s="1100">
        <v>1.0173288473478912</v>
      </c>
      <c r="D871" s="1100">
        <v>1.0335308283251314</v>
      </c>
      <c r="E871" s="1100">
        <v>1.0245776135940432</v>
      </c>
      <c r="F871" s="1100">
        <v>1.0115257651947775</v>
      </c>
      <c r="G871" s="1100">
        <v>0.98562850069650909</v>
      </c>
      <c r="H871" s="1100">
        <v>0.96816509658883687</v>
      </c>
      <c r="I871" s="1100">
        <v>1.0271417920006893</v>
      </c>
      <c r="K871">
        <v>1.1481356326023169</v>
      </c>
      <c r="L871">
        <v>0</v>
      </c>
      <c r="M871">
        <v>7.1463397218142727E-4</v>
      </c>
      <c r="N871">
        <v>7.08209041728564E-2</v>
      </c>
      <c r="O871">
        <v>1.0047469273642589E-2</v>
      </c>
      <c r="P871">
        <v>1.3850748346689059E-2</v>
      </c>
      <c r="Q871">
        <v>4.4713133854206951E-4</v>
      </c>
      <c r="R871">
        <v>7.1299919030685325E-4</v>
      </c>
      <c r="S871">
        <v>7.1072082353966934E-2</v>
      </c>
      <c r="T871">
        <v>0.83553623675471422</v>
      </c>
      <c r="U871">
        <v>0</v>
      </c>
      <c r="V871">
        <v>9.1063064802826554E-2</v>
      </c>
      <c r="W871">
        <v>4.58562942617479E-2</v>
      </c>
      <c r="X871">
        <v>7.5027873233092079E-3</v>
      </c>
      <c r="Y871">
        <v>1.9405487558953383E-3</v>
      </c>
    </row>
    <row r="872" spans="1:25" x14ac:dyDescent="0.25">
      <c r="A872" s="1096"/>
      <c r="B872" s="1455">
        <v>622</v>
      </c>
      <c r="C872" s="1100">
        <v>1.0048008504825323</v>
      </c>
      <c r="D872" s="1100">
        <v>1.0333830502910217</v>
      </c>
      <c r="E872" s="1100">
        <v>0.98767342755923115</v>
      </c>
      <c r="F872" s="1100">
        <v>0.96276471584060919</v>
      </c>
      <c r="G872" s="1100">
        <v>0.99578172019592592</v>
      </c>
      <c r="H872" s="1100">
        <v>1.0252820029494925</v>
      </c>
      <c r="I872" s="1100">
        <v>0.999189722050569</v>
      </c>
      <c r="K872">
        <v>1.1161154677633329</v>
      </c>
      <c r="L872">
        <v>0</v>
      </c>
      <c r="M872">
        <v>8.2729497011084464E-4</v>
      </c>
      <c r="N872">
        <v>7.3348887313579234E-2</v>
      </c>
      <c r="O872">
        <v>1.0161449189216749E-2</v>
      </c>
      <c r="P872">
        <v>1.2989668326090421E-2</v>
      </c>
      <c r="Q872">
        <v>4.3579058623670103E-4</v>
      </c>
      <c r="R872">
        <v>8.2550789573538968E-4</v>
      </c>
      <c r="S872">
        <v>7.2243590472731531E-2</v>
      </c>
      <c r="T872">
        <v>0.79760404528893747</v>
      </c>
      <c r="U872">
        <v>0</v>
      </c>
      <c r="V872">
        <v>9.1795123021592609E-2</v>
      </c>
      <c r="W872">
        <v>4.8541283083099081E-2</v>
      </c>
      <c r="X872">
        <v>6.7506571926376985E-3</v>
      </c>
      <c r="Y872">
        <v>2.2467603635870372E-3</v>
      </c>
    </row>
    <row r="873" spans="1:25" x14ac:dyDescent="0.25">
      <c r="A873" s="1096"/>
      <c r="B873" s="1455">
        <v>623</v>
      </c>
      <c r="C873" s="1100">
        <v>1.0403555130674949</v>
      </c>
      <c r="D873" s="1100">
        <v>0.99482405052267386</v>
      </c>
      <c r="E873" s="1100">
        <v>1.004107643229744</v>
      </c>
      <c r="F873" s="1100">
        <v>1.0150329526559634</v>
      </c>
      <c r="G873" s="1100">
        <v>1.0176731814378046</v>
      </c>
      <c r="H873" s="1100">
        <v>0.98322054207506049</v>
      </c>
      <c r="I873" s="1100">
        <v>1.0230005571505909</v>
      </c>
      <c r="K873">
        <v>1.1521523114886529</v>
      </c>
      <c r="L873">
        <v>0</v>
      </c>
      <c r="M873">
        <v>7.5192896168065917E-4</v>
      </c>
      <c r="N873">
        <v>7.0055064690125138E-2</v>
      </c>
      <c r="O873">
        <v>9.9697781949407357E-3</v>
      </c>
      <c r="P873">
        <v>1.3714249636959381E-2</v>
      </c>
      <c r="Q873">
        <v>4.3470869574482114E-4</v>
      </c>
      <c r="R873">
        <v>7.5023520333934723E-4</v>
      </c>
      <c r="S873">
        <v>7.1173217049327775E-2</v>
      </c>
      <c r="T873">
        <v>0.83979915483955792</v>
      </c>
      <c r="U873">
        <v>0</v>
      </c>
      <c r="V873">
        <v>9.189043353395851E-2</v>
      </c>
      <c r="W873">
        <v>4.5909378990379786E-2</v>
      </c>
      <c r="X873">
        <v>7.1661267074789071E-3</v>
      </c>
      <c r="Y873">
        <v>2.0418929085213896E-3</v>
      </c>
    </row>
    <row r="874" spans="1:25" x14ac:dyDescent="0.25">
      <c r="A874" s="1096"/>
      <c r="B874" s="1455">
        <v>624</v>
      </c>
      <c r="C874" s="1100">
        <v>0.98011067809224428</v>
      </c>
      <c r="D874" s="1100">
        <v>1.0308083374391259</v>
      </c>
      <c r="E874" s="1100">
        <v>0.99647631391391267</v>
      </c>
      <c r="F874" s="1100">
        <v>1.033556047208368</v>
      </c>
      <c r="G874" s="1100">
        <v>0.99531336998876796</v>
      </c>
      <c r="H874" s="1100">
        <v>1.0154525580415081</v>
      </c>
      <c r="I874" s="1100">
        <v>0.96865221164958526</v>
      </c>
      <c r="K874">
        <v>1.1784419357329823</v>
      </c>
      <c r="L874">
        <v>0</v>
      </c>
      <c r="M874">
        <v>8.2564730360342212E-4</v>
      </c>
      <c r="N874">
        <v>7.5175371393050278E-2</v>
      </c>
      <c r="O874">
        <v>1.0430729227868614E-2</v>
      </c>
      <c r="P874">
        <v>1.386328415902215E-2</v>
      </c>
      <c r="Q874">
        <v>4.5133252134941447E-4</v>
      </c>
      <c r="R874">
        <v>8.2384652423276802E-4</v>
      </c>
      <c r="S874">
        <v>7.1511279791591123E-2</v>
      </c>
      <c r="T874">
        <v>0.85564655873477768</v>
      </c>
      <c r="U874">
        <v>0</v>
      </c>
      <c r="V874">
        <v>9.2397657695819368E-2</v>
      </c>
      <c r="W874">
        <v>4.9488787901320254E-2</v>
      </c>
      <c r="X874">
        <v>7.23649642952534E-3</v>
      </c>
      <c r="Y874">
        <v>2.2422386580278697E-3</v>
      </c>
    </row>
    <row r="875" spans="1:25" x14ac:dyDescent="0.25">
      <c r="A875" s="1096"/>
      <c r="B875" s="1455">
        <v>625</v>
      </c>
      <c r="C875" s="1100">
        <v>1.0046207412020975</v>
      </c>
      <c r="D875" s="1100">
        <v>1.0278531695965534</v>
      </c>
      <c r="E875" s="1100">
        <v>0.99290148064248296</v>
      </c>
      <c r="F875" s="1100">
        <v>0.99405433601239224</v>
      </c>
      <c r="G875" s="1100">
        <v>1.0120865565075143</v>
      </c>
      <c r="H875" s="1100">
        <v>0.98588889335856222</v>
      </c>
      <c r="I875" s="1100">
        <v>1.0345542252149549</v>
      </c>
      <c r="K875">
        <v>1.1401202034408306</v>
      </c>
      <c r="L875">
        <v>0</v>
      </c>
      <c r="M875">
        <v>7.8877362570001772E-4</v>
      </c>
      <c r="N875">
        <v>7.104157313368005E-2</v>
      </c>
      <c r="O875">
        <v>1.018678928480418E-2</v>
      </c>
      <c r="P875">
        <v>1.341284918979278E-2</v>
      </c>
      <c r="Q875">
        <v>4.3919168623502531E-4</v>
      </c>
      <c r="R875">
        <v>7.8700168173260077E-4</v>
      </c>
      <c r="S875">
        <v>7.3393458015260413E-2</v>
      </c>
      <c r="T875">
        <v>0.8231802852946708</v>
      </c>
      <c r="U875">
        <v>0</v>
      </c>
      <c r="V875">
        <v>9.2497448890040995E-2</v>
      </c>
      <c r="W875">
        <v>4.686735270958723E-2</v>
      </c>
      <c r="X875">
        <v>6.961068038083473E-3</v>
      </c>
      <c r="Y875">
        <v>2.1419591426414808E-3</v>
      </c>
    </row>
    <row r="876" spans="1:25" x14ac:dyDescent="0.25">
      <c r="A876" s="1096"/>
      <c r="B876" s="1455">
        <v>626</v>
      </c>
      <c r="C876" s="1100">
        <v>0.992583415817061</v>
      </c>
      <c r="D876" s="1100">
        <v>1.001549272039165</v>
      </c>
      <c r="E876" s="1100">
        <v>1.0335207256660213</v>
      </c>
      <c r="F876" s="1100">
        <v>1.0015301245075841</v>
      </c>
      <c r="G876" s="1100">
        <v>1.0093084232451695</v>
      </c>
      <c r="H876" s="1100">
        <v>0.96637638947684956</v>
      </c>
      <c r="I876" s="1100">
        <v>1.0181859707449654</v>
      </c>
      <c r="K876">
        <v>1.1488228186584815</v>
      </c>
      <c r="L876">
        <v>0</v>
      </c>
      <c r="M876">
        <v>7.2667999084467165E-4</v>
      </c>
      <c r="N876">
        <v>7.3982400296216735E-2</v>
      </c>
      <c r="O876">
        <v>1.0431211096958179E-2</v>
      </c>
      <c r="P876">
        <v>1.387182678084504E-2</v>
      </c>
      <c r="Q876">
        <v>4.683334767239435E-4</v>
      </c>
      <c r="R876">
        <v>7.2501457585507625E-4</v>
      </c>
      <c r="S876">
        <v>7.3323014375429457E-2</v>
      </c>
      <c r="T876">
        <v>0.82669513000489403</v>
      </c>
      <c r="U876">
        <v>0</v>
      </c>
      <c r="V876">
        <v>9.2684165027829085E-2</v>
      </c>
      <c r="W876">
        <v>4.7655132596276788E-2</v>
      </c>
      <c r="X876">
        <v>7.7400197438113258E-3</v>
      </c>
      <c r="Y876">
        <v>1.9732506744868199E-3</v>
      </c>
    </row>
    <row r="877" spans="1:25" x14ac:dyDescent="0.25">
      <c r="A877" s="1096"/>
      <c r="B877" s="1455">
        <v>627</v>
      </c>
      <c r="C877" s="1100">
        <v>0.96825676750273459</v>
      </c>
      <c r="D877" s="1100">
        <v>0.9822309370831015</v>
      </c>
      <c r="E877" s="1100">
        <v>1.0335742691510466</v>
      </c>
      <c r="F877" s="1100">
        <v>1.0286160886068552</v>
      </c>
      <c r="G877" s="1100">
        <v>0.96789907229292782</v>
      </c>
      <c r="H877" s="1100">
        <v>1.0103016181676217</v>
      </c>
      <c r="I877" s="1100">
        <v>1.0009673223520192</v>
      </c>
      <c r="K877">
        <v>1.184096044196153</v>
      </c>
      <c r="L877">
        <v>0</v>
      </c>
      <c r="M877">
        <v>7.848007634136603E-4</v>
      </c>
      <c r="N877">
        <v>7.9920480273520639E-2</v>
      </c>
      <c r="O877">
        <v>1.0776939145787702E-2</v>
      </c>
      <c r="P877">
        <v>1.4213194534350311E-2</v>
      </c>
      <c r="Q877">
        <v>4.8388130665951947E-4</v>
      </c>
      <c r="R877">
        <v>7.8308034553888984E-4</v>
      </c>
      <c r="S877">
        <v>7.650183105109018E-2</v>
      </c>
      <c r="T877">
        <v>0.84904916828035604</v>
      </c>
      <c r="U877">
        <v>0</v>
      </c>
      <c r="V877">
        <v>9.1542315563141297E-2</v>
      </c>
      <c r="W877">
        <v>5.1478500637026664E-2</v>
      </c>
      <c r="X877">
        <v>8.0001672639047929E-3</v>
      </c>
      <c r="Y877">
        <v>2.1312865581903286E-3</v>
      </c>
    </row>
    <row r="878" spans="1:25" x14ac:dyDescent="0.25">
      <c r="A878" s="1096"/>
      <c r="B878" s="1455">
        <v>628</v>
      </c>
      <c r="C878" s="1100">
        <v>0.99063448100887153</v>
      </c>
      <c r="D878" s="1100">
        <v>0.99372917463732424</v>
      </c>
      <c r="E878" s="1100">
        <v>1.0112402585745939</v>
      </c>
      <c r="F878" s="1100">
        <v>0.99356258195889602</v>
      </c>
      <c r="G878" s="1100">
        <v>0.97473572198189407</v>
      </c>
      <c r="H878" s="1100">
        <v>1.0113738521690376</v>
      </c>
      <c r="I878" s="1100">
        <v>0.98658660971871537</v>
      </c>
      <c r="K878">
        <v>1.1460896750167031</v>
      </c>
      <c r="L878">
        <v>0</v>
      </c>
      <c r="M878">
        <v>8.0068947201101116E-4</v>
      </c>
      <c r="N878">
        <v>7.6226775519257911E-2</v>
      </c>
      <c r="O878">
        <v>1.0477150459263795E-2</v>
      </c>
      <c r="P878">
        <v>1.3556586266640353E-2</v>
      </c>
      <c r="Q878">
        <v>4.6010455319666369E-4</v>
      </c>
      <c r="R878">
        <v>7.9893608423391876E-4</v>
      </c>
      <c r="S878">
        <v>7.3277835325238086E-2</v>
      </c>
      <c r="T878">
        <v>0.82156798601307235</v>
      </c>
      <c r="U878">
        <v>0</v>
      </c>
      <c r="V878">
        <v>9.1251792089494618E-2</v>
      </c>
      <c r="W878">
        <v>4.9743857523172279E-2</v>
      </c>
      <c r="X878">
        <v>7.3549000030681232E-3</v>
      </c>
      <c r="Y878">
        <v>2.1744406520753405E-3</v>
      </c>
    </row>
    <row r="879" spans="1:25" x14ac:dyDescent="0.25">
      <c r="A879" s="1096"/>
      <c r="B879" s="1455">
        <v>629</v>
      </c>
      <c r="C879" s="1100">
        <v>0.98223776453634926</v>
      </c>
      <c r="D879" s="1100">
        <v>1.0036453490621899</v>
      </c>
      <c r="E879" s="1100">
        <v>0.99972447820359445</v>
      </c>
      <c r="F879" s="1100">
        <v>0.99567667505053215</v>
      </c>
      <c r="G879" s="1100">
        <v>0.9969606112152507</v>
      </c>
      <c r="H879" s="1100">
        <v>1.0122096223487651</v>
      </c>
      <c r="I879" s="1100">
        <v>0.99728097981359187</v>
      </c>
      <c r="K879">
        <v>1.150351540162786</v>
      </c>
      <c r="L879">
        <v>0</v>
      </c>
      <c r="M879">
        <v>8.2447533015961424E-4</v>
      </c>
      <c r="N879">
        <v>7.5808541508837077E-2</v>
      </c>
      <c r="O879">
        <v>1.052099527138467E-2</v>
      </c>
      <c r="P879">
        <v>1.3505635727529067E-2</v>
      </c>
      <c r="Q879">
        <v>4.5672863424983537E-4</v>
      </c>
      <c r="R879">
        <v>8.2267134574303411E-4</v>
      </c>
      <c r="S879">
        <v>7.4346714124152682E-2</v>
      </c>
      <c r="T879">
        <v>0.82407317748995323</v>
      </c>
      <c r="U879">
        <v>0</v>
      </c>
      <c r="V879">
        <v>9.2413841786991899E-2</v>
      </c>
      <c r="W879">
        <v>4.9809215104284113E-2</v>
      </c>
      <c r="X879">
        <v>7.1794542902425054E-3</v>
      </c>
      <c r="Y879">
        <v>2.2390402095762998E-3</v>
      </c>
    </row>
    <row r="880" spans="1:25" x14ac:dyDescent="0.25">
      <c r="A880" s="1096"/>
      <c r="B880" s="1455">
        <v>630</v>
      </c>
      <c r="C880" s="1100">
        <v>1.0022476417403168</v>
      </c>
      <c r="D880" s="1100">
        <v>0.97915623818822306</v>
      </c>
      <c r="E880" s="1100">
        <v>1.0040619804628499</v>
      </c>
      <c r="F880" s="1100">
        <v>1.0274569380410103</v>
      </c>
      <c r="G880" s="1100">
        <v>1.0040868753145327</v>
      </c>
      <c r="H880" s="1100">
        <v>0.99424755840191048</v>
      </c>
      <c r="I880" s="1100">
        <v>0.96326286271682926</v>
      </c>
      <c r="K880">
        <v>1.1695672898584033</v>
      </c>
      <c r="L880">
        <v>0</v>
      </c>
      <c r="M880">
        <v>7.9437580189652222E-4</v>
      </c>
      <c r="N880">
        <v>7.4001361527603657E-2</v>
      </c>
      <c r="O880">
        <v>1.0414761072074886E-2</v>
      </c>
      <c r="P880">
        <v>1.3850570218183292E-2</v>
      </c>
      <c r="Q880">
        <v>4.5409033015940203E-4</v>
      </c>
      <c r="R880">
        <v>7.9260627547749472E-4</v>
      </c>
      <c r="S880">
        <v>7.0570823375072755E-2</v>
      </c>
      <c r="T880">
        <v>0.85008138152824464</v>
      </c>
      <c r="U880">
        <v>0</v>
      </c>
      <c r="V880">
        <v>9.2215417172731004E-2</v>
      </c>
      <c r="W880">
        <v>4.8496828517427405E-2</v>
      </c>
      <c r="X880">
        <v>7.3266126440625461E-3</v>
      </c>
      <c r="Y880">
        <v>2.1572129992612505E-3</v>
      </c>
    </row>
    <row r="881" spans="1:25" x14ac:dyDescent="0.25">
      <c r="A881" s="1096"/>
      <c r="B881" s="1455">
        <v>631</v>
      </c>
      <c r="C881" s="1100">
        <v>1.0108053383677311</v>
      </c>
      <c r="D881" s="1100">
        <v>0.98919896195014556</v>
      </c>
      <c r="E881" s="1100">
        <v>1.0106366550434978</v>
      </c>
      <c r="F881" s="1100">
        <v>1.035393555636416</v>
      </c>
      <c r="G881" s="1100">
        <v>0.98938916402181787</v>
      </c>
      <c r="H881" s="1100">
        <v>1.0150787264343635</v>
      </c>
      <c r="I881" s="1100">
        <v>0.99040466811824945</v>
      </c>
      <c r="K881">
        <v>1.1784291202943316</v>
      </c>
      <c r="L881">
        <v>0</v>
      </c>
      <c r="M881">
        <v>7.9001706169047029E-4</v>
      </c>
      <c r="N881">
        <v>7.5074427588650183E-2</v>
      </c>
      <c r="O881">
        <v>1.028666385024688E-2</v>
      </c>
      <c r="P881">
        <v>1.4016143363371732E-2</v>
      </c>
      <c r="Q881">
        <v>4.5146697514642555E-4</v>
      </c>
      <c r="R881">
        <v>7.8829335914708536E-4</v>
      </c>
      <c r="S881">
        <v>7.2410268585920978E-2</v>
      </c>
      <c r="T881">
        <v>0.85619879720764902</v>
      </c>
      <c r="U881">
        <v>0</v>
      </c>
      <c r="V881">
        <v>9.1378757131796343E-2</v>
      </c>
      <c r="W881">
        <v>4.9009289423862533E-2</v>
      </c>
      <c r="X881">
        <v>7.4595552074666555E-3</v>
      </c>
      <c r="Y881">
        <v>2.1454746627623633E-3</v>
      </c>
    </row>
    <row r="882" spans="1:25" x14ac:dyDescent="0.25">
      <c r="A882" s="1096"/>
      <c r="B882" s="1455">
        <v>632</v>
      </c>
      <c r="C882" s="1100">
        <v>0.99522776266887891</v>
      </c>
      <c r="D882" s="1100">
        <v>0.96916916461646618</v>
      </c>
      <c r="E882" s="1100">
        <v>0.98587883581897962</v>
      </c>
      <c r="F882" s="1100">
        <v>1.0117678703174315</v>
      </c>
      <c r="G882" s="1100">
        <v>0.99534167491324088</v>
      </c>
      <c r="H882" s="1100">
        <v>0.9892185057276458</v>
      </c>
      <c r="I882" s="1100">
        <v>0.99850447840639633</v>
      </c>
      <c r="K882">
        <v>1.159577424859811</v>
      </c>
      <c r="L882">
        <v>0</v>
      </c>
      <c r="M882">
        <v>8.2989819767388998E-4</v>
      </c>
      <c r="N882">
        <v>7.3175672589988014E-2</v>
      </c>
      <c r="O882">
        <v>1.0525270185449163E-2</v>
      </c>
      <c r="P882">
        <v>1.3545568548198801E-2</v>
      </c>
      <c r="Q882">
        <v>4.505741423444468E-4</v>
      </c>
      <c r="R882">
        <v>8.2804014437807508E-4</v>
      </c>
      <c r="S882">
        <v>7.3828712927890491E-2</v>
      </c>
      <c r="T882">
        <v>0.83832177687053577</v>
      </c>
      <c r="U882">
        <v>0</v>
      </c>
      <c r="V882">
        <v>9.2013248472778961E-2</v>
      </c>
      <c r="W882">
        <v>4.8478875118032207E-2</v>
      </c>
      <c r="X882">
        <v>6.9859317482522448E-3</v>
      </c>
      <c r="Y882">
        <v>2.253652309636887E-3</v>
      </c>
    </row>
    <row r="883" spans="1:25" x14ac:dyDescent="0.25">
      <c r="A883" s="1096"/>
      <c r="B883" s="1455">
        <v>633</v>
      </c>
      <c r="C883" s="1100">
        <v>1.0252203425927171</v>
      </c>
      <c r="D883" s="1100">
        <v>1.0421651649663448</v>
      </c>
      <c r="E883" s="1100">
        <v>1.0227397038987791</v>
      </c>
      <c r="F883" s="1100">
        <v>1.0385502700163878</v>
      </c>
      <c r="G883" s="1100">
        <v>0.98146011907482933</v>
      </c>
      <c r="H883" s="1100">
        <v>1.0205985392059878</v>
      </c>
      <c r="I883" s="1100">
        <v>1.0037454820843212</v>
      </c>
      <c r="K883">
        <v>1.1749854307137035</v>
      </c>
      <c r="L883">
        <v>0</v>
      </c>
      <c r="M883">
        <v>7.4791072814062924E-4</v>
      </c>
      <c r="N883">
        <v>7.3717634981758207E-2</v>
      </c>
      <c r="O883">
        <v>9.9364275296045038E-3</v>
      </c>
      <c r="P883">
        <v>1.413275710929161E-2</v>
      </c>
      <c r="Q883">
        <v>4.4138418505710616E-4</v>
      </c>
      <c r="R883">
        <v>7.46287721120388E-4</v>
      </c>
      <c r="S883">
        <v>7.0677280673365692E-2</v>
      </c>
      <c r="T883">
        <v>0.85798380962217624</v>
      </c>
      <c r="U883">
        <v>0</v>
      </c>
      <c r="V883">
        <v>9.0697018086125528E-2</v>
      </c>
      <c r="W883">
        <v>4.7783122589644851E-2</v>
      </c>
      <c r="X883">
        <v>7.5864697804921138E-3</v>
      </c>
      <c r="Y883">
        <v>2.0311491632085473E-3</v>
      </c>
    </row>
    <row r="884" spans="1:25" x14ac:dyDescent="0.25">
      <c r="A884" s="1096"/>
      <c r="B884" s="1455">
        <v>634</v>
      </c>
      <c r="C884" s="1100">
        <v>0.95906131011300477</v>
      </c>
      <c r="D884" s="1100">
        <v>1.0282296829221482</v>
      </c>
      <c r="E884" s="1100">
        <v>0.99535817670207172</v>
      </c>
      <c r="F884" s="1100">
        <v>0.9956780514774074</v>
      </c>
      <c r="G884" s="1100">
        <v>0.9840133692696883</v>
      </c>
      <c r="H884" s="1100">
        <v>1.0307525963187014</v>
      </c>
      <c r="I884" s="1100">
        <v>1.0254531999118388</v>
      </c>
      <c r="K884">
        <v>1.158448039975372</v>
      </c>
      <c r="L884">
        <v>0</v>
      </c>
      <c r="M884">
        <v>8.5932980489803129E-4</v>
      </c>
      <c r="N884">
        <v>7.7980755123274098E-2</v>
      </c>
      <c r="O884">
        <v>1.0669969695056588E-2</v>
      </c>
      <c r="P884">
        <v>1.35176004606104E-2</v>
      </c>
      <c r="Q884">
        <v>4.6116455685570854E-4</v>
      </c>
      <c r="R884">
        <v>8.5748338268774209E-4</v>
      </c>
      <c r="S884">
        <v>7.8122135430379949E-2</v>
      </c>
      <c r="T884">
        <v>0.82436248342928276</v>
      </c>
      <c r="U884">
        <v>0</v>
      </c>
      <c r="V884">
        <v>9.2469264693435263E-2</v>
      </c>
      <c r="W884">
        <v>5.1369840555822346E-2</v>
      </c>
      <c r="X884">
        <v>7.1628853545090652E-3</v>
      </c>
      <c r="Y884">
        <v>2.3337870983548997E-3</v>
      </c>
    </row>
    <row r="885" spans="1:25" x14ac:dyDescent="0.25">
      <c r="A885" s="1096"/>
      <c r="B885" s="1455">
        <v>635</v>
      </c>
      <c r="C885" s="1100">
        <v>1.0320308164899121</v>
      </c>
      <c r="D885" s="1100">
        <v>1.0297172150118821</v>
      </c>
      <c r="E885" s="1100">
        <v>1.0287012437668155</v>
      </c>
      <c r="F885" s="1100">
        <v>1.0206396293553326</v>
      </c>
      <c r="G885" s="1100">
        <v>0.98672114480401441</v>
      </c>
      <c r="H885" s="1100">
        <v>0.98943187020750512</v>
      </c>
      <c r="I885" s="1100">
        <v>1.008121198886579</v>
      </c>
      <c r="K885">
        <v>1.1552078989536123</v>
      </c>
      <c r="L885">
        <v>0</v>
      </c>
      <c r="M885">
        <v>7.1482724929878096E-4</v>
      </c>
      <c r="N885">
        <v>7.1729920369405342E-2</v>
      </c>
      <c r="O885">
        <v>9.9202903420094347E-3</v>
      </c>
      <c r="P885">
        <v>1.3970615335288336E-2</v>
      </c>
      <c r="Q885">
        <v>4.4327853359693819E-4</v>
      </c>
      <c r="R885">
        <v>7.1322717266842414E-4</v>
      </c>
      <c r="S885">
        <v>6.9733475305426215E-2</v>
      </c>
      <c r="T885">
        <v>0.84278942728397421</v>
      </c>
      <c r="U885">
        <v>0</v>
      </c>
      <c r="V885">
        <v>9.0763274505221384E-2</v>
      </c>
      <c r="W885">
        <v>4.6333545532262217E-2</v>
      </c>
      <c r="X885">
        <v>7.5845025743296636E-3</v>
      </c>
      <c r="Y885">
        <v>1.9411692487291685E-3</v>
      </c>
    </row>
    <row r="886" spans="1:25" x14ac:dyDescent="0.25">
      <c r="A886" s="1096"/>
      <c r="B886" s="1455">
        <v>636</v>
      </c>
      <c r="C886" s="1100">
        <v>1.0205906055134122</v>
      </c>
      <c r="D886" s="1100">
        <v>1.0184704225743821</v>
      </c>
      <c r="E886" s="1100">
        <v>0.99980040907591849</v>
      </c>
      <c r="F886" s="1100">
        <v>1.0219844760413472</v>
      </c>
      <c r="G886" s="1100">
        <v>0.99163041517224759</v>
      </c>
      <c r="H886" s="1100">
        <v>0.98632376442232828</v>
      </c>
      <c r="I886" s="1100">
        <v>0.99741296618370245</v>
      </c>
      <c r="K886">
        <v>1.157654259176125</v>
      </c>
      <c r="L886">
        <v>0</v>
      </c>
      <c r="M886">
        <v>7.6855703756295568E-4</v>
      </c>
      <c r="N886">
        <v>7.067913332446564E-2</v>
      </c>
      <c r="O886">
        <v>1.0066434491120404E-2</v>
      </c>
      <c r="P886">
        <v>1.3727796796989504E-2</v>
      </c>
      <c r="Q886">
        <v>4.3702898137206619E-4</v>
      </c>
      <c r="R886">
        <v>7.6683127046647879E-4</v>
      </c>
      <c r="S886">
        <v>7.000515677724814E-2</v>
      </c>
      <c r="T886">
        <v>0.84584172727594997</v>
      </c>
      <c r="U886">
        <v>0</v>
      </c>
      <c r="V886">
        <v>9.1237813656255426E-2</v>
      </c>
      <c r="W886">
        <v>4.6436894615588802E-2</v>
      </c>
      <c r="X886">
        <v>7.1369370918812841E-3</v>
      </c>
      <c r="Y886">
        <v>2.0870619323493838E-3</v>
      </c>
    </row>
    <row r="887" spans="1:25" x14ac:dyDescent="0.25">
      <c r="A887" s="1096"/>
      <c r="B887" s="1455">
        <v>637</v>
      </c>
      <c r="C887" s="1100">
        <v>1.0137704656822222</v>
      </c>
      <c r="D887" s="1100">
        <v>0.99280014217637369</v>
      </c>
      <c r="E887" s="1100">
        <v>1.0439908996628717</v>
      </c>
      <c r="F887" s="1100">
        <v>1.0099203552122837</v>
      </c>
      <c r="G887" s="1100">
        <v>0.9885733434221976</v>
      </c>
      <c r="H887" s="1100">
        <v>0.95646643407523457</v>
      </c>
      <c r="I887" s="1100">
        <v>0.99484646546928845</v>
      </c>
      <c r="K887">
        <v>1.1479114450448813</v>
      </c>
      <c r="L887">
        <v>0</v>
      </c>
      <c r="M887">
        <v>6.9140212913616436E-4</v>
      </c>
      <c r="N887">
        <v>7.2644791781643459E-2</v>
      </c>
      <c r="O887">
        <v>1.0252523374842547E-2</v>
      </c>
      <c r="P887">
        <v>1.3999316087703925E-2</v>
      </c>
      <c r="Q887">
        <v>4.6507762806948584E-4</v>
      </c>
      <c r="R887">
        <v>6.8980114673910305E-4</v>
      </c>
      <c r="S887">
        <v>7.0077906105917742E-2</v>
      </c>
      <c r="T887">
        <v>0.83293392707677283</v>
      </c>
      <c r="U887">
        <v>0</v>
      </c>
      <c r="V887">
        <v>9.1277918014048387E-2</v>
      </c>
      <c r="W887">
        <v>4.651192252401052E-2</v>
      </c>
      <c r="X887">
        <v>7.8722521057333714E-3</v>
      </c>
      <c r="Y887">
        <v>1.8774113285369295E-3</v>
      </c>
    </row>
    <row r="888" spans="1:25" x14ac:dyDescent="0.25">
      <c r="A888" s="1096"/>
      <c r="B888" s="1455">
        <v>638</v>
      </c>
      <c r="C888" s="1100">
        <v>1.0012052009967998</v>
      </c>
      <c r="D888" s="1100">
        <v>0.99073070648623185</v>
      </c>
      <c r="E888" s="1100">
        <v>1.0302994063365767</v>
      </c>
      <c r="F888" s="1100">
        <v>0.98795916242056203</v>
      </c>
      <c r="G888" s="1100">
        <v>0.99330969352664344</v>
      </c>
      <c r="H888" s="1100">
        <v>0.9586488725217438</v>
      </c>
      <c r="I888" s="1100">
        <v>1.0435385193163784</v>
      </c>
      <c r="K888">
        <v>1.136058415599644</v>
      </c>
      <c r="L888">
        <v>0</v>
      </c>
      <c r="M888">
        <v>7.2260854066734425E-4</v>
      </c>
      <c r="N888">
        <v>7.2855687925081764E-2</v>
      </c>
      <c r="O888">
        <v>1.0385344776809208E-2</v>
      </c>
      <c r="P888">
        <v>1.3691265231189586E-2</v>
      </c>
      <c r="Q888">
        <v>4.6479307737408638E-4</v>
      </c>
      <c r="R888">
        <v>7.2093910725099517E-4</v>
      </c>
      <c r="S888">
        <v>7.4586998474020075E-2</v>
      </c>
      <c r="T888">
        <v>0.81570062931937282</v>
      </c>
      <c r="U888">
        <v>0</v>
      </c>
      <c r="V888">
        <v>9.1784807141756963E-2</v>
      </c>
      <c r="W888">
        <v>4.7017074019397649E-2</v>
      </c>
      <c r="X888">
        <v>7.6113264756330979E-3</v>
      </c>
      <c r="Y888">
        <v>1.9621585924243759E-3</v>
      </c>
    </row>
    <row r="889" spans="1:25" x14ac:dyDescent="0.25">
      <c r="A889" s="1096"/>
      <c r="B889" s="1455">
        <v>639</v>
      </c>
      <c r="C889" s="1100">
        <v>0.99908822399350639</v>
      </c>
      <c r="D889" s="1100">
        <v>0.990513765191674</v>
      </c>
      <c r="E889" s="1100">
        <v>0.9957136818762734</v>
      </c>
      <c r="F889" s="1100">
        <v>1.0268506897412595</v>
      </c>
      <c r="G889" s="1100">
        <v>0.99208728628558562</v>
      </c>
      <c r="H889" s="1100">
        <v>0.97184068859692407</v>
      </c>
      <c r="I889" s="1100">
        <v>1.0065507571110675</v>
      </c>
      <c r="K889">
        <v>1.167327839847552</v>
      </c>
      <c r="L889">
        <v>0</v>
      </c>
      <c r="M889">
        <v>7.8888710580067209E-4</v>
      </c>
      <c r="N889">
        <v>7.1655962960176539E-2</v>
      </c>
      <c r="O889">
        <v>1.0396865981423123E-2</v>
      </c>
      <c r="P889">
        <v>1.3787129589018463E-2</v>
      </c>
      <c r="Q889">
        <v>4.4952180141894291E-4</v>
      </c>
      <c r="R889">
        <v>7.8708928931882946E-4</v>
      </c>
      <c r="S889">
        <v>7.2606340683338794E-2</v>
      </c>
      <c r="T889">
        <v>0.85014736165335536</v>
      </c>
      <c r="U889">
        <v>0</v>
      </c>
      <c r="V889">
        <v>9.1779335819247146E-2</v>
      </c>
      <c r="W889">
        <v>4.7193374346325714E-2</v>
      </c>
      <c r="X889">
        <v>7.1715472481186605E-3</v>
      </c>
      <c r="Y889">
        <v>2.1421975816113626E-3</v>
      </c>
    </row>
    <row r="890" spans="1:25" x14ac:dyDescent="0.25">
      <c r="A890" s="1096"/>
      <c r="B890" s="1455">
        <v>640</v>
      </c>
      <c r="C890" s="1100">
        <v>0.97501508118854574</v>
      </c>
      <c r="D890" s="1100">
        <v>1.0101532406994147</v>
      </c>
      <c r="E890" s="1100">
        <v>1.0054722910429976</v>
      </c>
      <c r="F890" s="1100">
        <v>0.98467085400079291</v>
      </c>
      <c r="G890" s="1100">
        <v>1.0473857343549304</v>
      </c>
      <c r="H890" s="1100">
        <v>1.007577660912252</v>
      </c>
      <c r="I890" s="1100">
        <v>1.0088240030102202</v>
      </c>
      <c r="K890">
        <v>1.1448212782426079</v>
      </c>
      <c r="L890">
        <v>0</v>
      </c>
      <c r="M890">
        <v>8.1486971493501502E-4</v>
      </c>
      <c r="N890">
        <v>7.6236776578849447E-2</v>
      </c>
      <c r="O890">
        <v>1.0573488472073749E-2</v>
      </c>
      <c r="P890">
        <v>1.3479336566106491E-2</v>
      </c>
      <c r="Q890">
        <v>4.6166322371104146E-4</v>
      </c>
      <c r="R890">
        <v>8.1307855145826551E-4</v>
      </c>
      <c r="S890">
        <v>7.5326655471883414E-2</v>
      </c>
      <c r="T890">
        <v>0.81458997154997392</v>
      </c>
      <c r="U890">
        <v>0</v>
      </c>
      <c r="V890">
        <v>9.4757346988180335E-2</v>
      </c>
      <c r="W890">
        <v>4.9920104965023179E-2</v>
      </c>
      <c r="X890">
        <v>7.2647938044846519E-3</v>
      </c>
      <c r="Y890">
        <v>2.2129317857969453E-3</v>
      </c>
    </row>
    <row r="891" spans="1:25" x14ac:dyDescent="0.25">
      <c r="A891" s="1096"/>
      <c r="B891" s="1455">
        <v>641</v>
      </c>
      <c r="C891" s="1100">
        <v>0.9837371541870753</v>
      </c>
      <c r="D891" s="1100">
        <v>1.0253586678408579</v>
      </c>
      <c r="E891" s="1100">
        <v>0.99343507857446967</v>
      </c>
      <c r="F891" s="1100">
        <v>1.0088223211107459</v>
      </c>
      <c r="G891" s="1100">
        <v>1.0212151064140427</v>
      </c>
      <c r="H891" s="1100">
        <v>0.95662244481690684</v>
      </c>
      <c r="I891" s="1100">
        <v>1.0066197493460323</v>
      </c>
      <c r="K891">
        <v>1.1512073824835201</v>
      </c>
      <c r="L891">
        <v>0</v>
      </c>
      <c r="M891">
        <v>7.8150176421630426E-4</v>
      </c>
      <c r="N891">
        <v>7.0495390375003172E-2</v>
      </c>
      <c r="O891">
        <v>1.0413334526293684E-2</v>
      </c>
      <c r="P891">
        <v>1.3574575466500644E-2</v>
      </c>
      <c r="Q891">
        <v>4.4920070583472646E-4</v>
      </c>
      <c r="R891">
        <v>7.7969244592243051E-4</v>
      </c>
      <c r="S891">
        <v>7.1813310676816983E-2</v>
      </c>
      <c r="T891">
        <v>0.83537395407120119</v>
      </c>
      <c r="U891">
        <v>0</v>
      </c>
      <c r="V891">
        <v>9.3411471005245203E-2</v>
      </c>
      <c r="W891">
        <v>4.6492199750852385E-2</v>
      </c>
      <c r="X891">
        <v>7.0636894118106235E-3</v>
      </c>
      <c r="Y891">
        <v>2.1220658122551345E-3</v>
      </c>
    </row>
    <row r="892" spans="1:25" x14ac:dyDescent="0.25">
      <c r="A892" s="1096"/>
      <c r="B892" s="1455">
        <v>642</v>
      </c>
      <c r="C892" s="1100">
        <v>0.9845215219489688</v>
      </c>
      <c r="D892" s="1100">
        <v>1.0223881171256866</v>
      </c>
      <c r="E892" s="1100">
        <v>1.0094420556712027</v>
      </c>
      <c r="F892" s="1100">
        <v>0.98276095010014619</v>
      </c>
      <c r="G892" s="1100">
        <v>1.0045542198207951</v>
      </c>
      <c r="H892" s="1100">
        <v>0.9672786590050455</v>
      </c>
      <c r="I892" s="1100">
        <v>0.99701997677402177</v>
      </c>
      <c r="K892">
        <v>1.1303628729681678</v>
      </c>
      <c r="L892">
        <v>0</v>
      </c>
      <c r="M892">
        <v>7.6467279463753089E-4</v>
      </c>
      <c r="N892">
        <v>7.2396570161593746E-2</v>
      </c>
      <c r="O892">
        <v>1.0422396146345096E-2</v>
      </c>
      <c r="P892">
        <v>1.3414572277210761E-2</v>
      </c>
      <c r="Q892">
        <v>4.5687816837478338E-4</v>
      </c>
      <c r="R892">
        <v>7.6292194193428617E-4</v>
      </c>
      <c r="S892">
        <v>7.1631772328866805E-2</v>
      </c>
      <c r="T892">
        <v>0.8127526187292009</v>
      </c>
      <c r="U892">
        <v>0</v>
      </c>
      <c r="V892">
        <v>9.268148652666558E-2</v>
      </c>
      <c r="W892">
        <v>4.729446173677284E-2</v>
      </c>
      <c r="X892">
        <v>7.2374457170467496E-3</v>
      </c>
      <c r="Y892">
        <v>2.0764220287945597E-3</v>
      </c>
    </row>
    <row r="893" spans="1:25" x14ac:dyDescent="0.25">
      <c r="A893" s="1096"/>
      <c r="B893" s="1455">
        <v>643</v>
      </c>
      <c r="C893" s="1100">
        <v>1.0141459775409936</v>
      </c>
      <c r="D893" s="1100">
        <v>1.0281080757557168</v>
      </c>
      <c r="E893" s="1100">
        <v>0.99452950278333507</v>
      </c>
      <c r="F893" s="1100">
        <v>1.0241219910430248</v>
      </c>
      <c r="G893" s="1100">
        <v>1.0063119470730972</v>
      </c>
      <c r="H893" s="1100">
        <v>0.98849137682088428</v>
      </c>
      <c r="I893" s="1100">
        <v>1.0338137573910713</v>
      </c>
      <c r="K893">
        <v>1.1634489250346103</v>
      </c>
      <c r="L893">
        <v>0</v>
      </c>
      <c r="M893">
        <v>7.8071172090234738E-4</v>
      </c>
      <c r="N893">
        <v>7.0662756158915596E-2</v>
      </c>
      <c r="O893">
        <v>1.0090629420879899E-2</v>
      </c>
      <c r="P893">
        <v>1.375054072291103E-2</v>
      </c>
      <c r="Q893">
        <v>4.3576086666676238E-4</v>
      </c>
      <c r="R893">
        <v>7.7896250509899509E-4</v>
      </c>
      <c r="S893">
        <v>7.2751469665054594E-2</v>
      </c>
      <c r="T893">
        <v>0.84796870603033281</v>
      </c>
      <c r="U893">
        <v>0</v>
      </c>
      <c r="V893">
        <v>9.2019085214698301E-2</v>
      </c>
      <c r="W893">
        <v>4.6572130767761157E-2</v>
      </c>
      <c r="X893">
        <v>7.0795162492344778E-3</v>
      </c>
      <c r="Y893">
        <v>2.1200791539586704E-3</v>
      </c>
    </row>
    <row r="894" spans="1:25" x14ac:dyDescent="0.25">
      <c r="A894" s="1096"/>
      <c r="B894" s="1455">
        <v>644</v>
      </c>
      <c r="C894" s="1100">
        <v>1.0127566901888694</v>
      </c>
      <c r="D894" s="1100">
        <v>1.0180743933017724</v>
      </c>
      <c r="E894" s="1100">
        <v>0.99246162104444913</v>
      </c>
      <c r="F894" s="1100">
        <v>1.0181926177928857</v>
      </c>
      <c r="G894" s="1100">
        <v>1.0168701885696703</v>
      </c>
      <c r="H894" s="1100">
        <v>1.0065398577353597</v>
      </c>
      <c r="I894" s="1100">
        <v>0.98011167529873866</v>
      </c>
      <c r="K894">
        <v>1.1590832027175606</v>
      </c>
      <c r="L894">
        <v>0</v>
      </c>
      <c r="M894">
        <v>8.0261787746933205E-4</v>
      </c>
      <c r="N894">
        <v>7.2195749680456778E-2</v>
      </c>
      <c r="O894">
        <v>1.0143525671034428E-2</v>
      </c>
      <c r="P894">
        <v>1.3635397426103006E-2</v>
      </c>
      <c r="Q894">
        <v>4.3713232437249074E-4</v>
      </c>
      <c r="R894">
        <v>8.0085182570166155E-4</v>
      </c>
      <c r="S894">
        <v>7.0118773117917851E-2</v>
      </c>
      <c r="T894">
        <v>0.84319904760246112</v>
      </c>
      <c r="U894">
        <v>0</v>
      </c>
      <c r="V894">
        <v>9.2503776461320741E-2</v>
      </c>
      <c r="W894">
        <v>4.76413082804917E-2</v>
      </c>
      <c r="X894">
        <v>7.0306035363428198E-3</v>
      </c>
      <c r="Y894">
        <v>2.1796546688265328E-3</v>
      </c>
    </row>
    <row r="895" spans="1:25" x14ac:dyDescent="0.25">
      <c r="A895" s="1096"/>
      <c r="B895" s="1455">
        <v>645</v>
      </c>
      <c r="C895" s="1100">
        <v>1.0377440319032594</v>
      </c>
      <c r="D895" s="1100">
        <v>1.021415324488435</v>
      </c>
      <c r="E895" s="1100">
        <v>1.0136540475951938</v>
      </c>
      <c r="F895" s="1100">
        <v>1.0090107591527246</v>
      </c>
      <c r="G895" s="1100">
        <v>1.0108148236303058</v>
      </c>
      <c r="H895" s="1100">
        <v>1.0002733751697073</v>
      </c>
      <c r="I895" s="1100">
        <v>1.0090234559915001</v>
      </c>
      <c r="K895">
        <v>1.1471315801614783</v>
      </c>
      <c r="L895">
        <v>0</v>
      </c>
      <c r="M895">
        <v>7.4394686438168851E-4</v>
      </c>
      <c r="N895">
        <v>7.134096901169662E-2</v>
      </c>
      <c r="O895">
        <v>9.8929507827363455E-3</v>
      </c>
      <c r="P895">
        <v>1.3716379757238228E-2</v>
      </c>
      <c r="Q895">
        <v>4.3549753533898996E-4</v>
      </c>
      <c r="R895">
        <v>7.4229965507862912E-4</v>
      </c>
      <c r="S895">
        <v>7.0109041802917965E-2</v>
      </c>
      <c r="T895">
        <v>0.83418168310856344</v>
      </c>
      <c r="U895">
        <v>0</v>
      </c>
      <c r="V895">
        <v>9.165847337951355E-2</v>
      </c>
      <c r="W895">
        <v>4.648940109852745E-2</v>
      </c>
      <c r="X895">
        <v>7.2885359321388388E-3</v>
      </c>
      <c r="Y895">
        <v>2.0202949621084959E-3</v>
      </c>
    </row>
    <row r="896" spans="1:25" x14ac:dyDescent="0.25">
      <c r="A896" s="1096"/>
      <c r="B896" s="1455">
        <v>646</v>
      </c>
      <c r="C896" s="1100">
        <v>1.0118632798311133</v>
      </c>
      <c r="D896" s="1100">
        <v>0.99689951878324257</v>
      </c>
      <c r="E896" s="1100">
        <v>0.95964363446485279</v>
      </c>
      <c r="F896" s="1100">
        <v>1.0319011032376608</v>
      </c>
      <c r="G896" s="1100">
        <v>0.98085120713935525</v>
      </c>
      <c r="H896" s="1100">
        <v>0.99659646354724074</v>
      </c>
      <c r="I896" s="1100">
        <v>1.017963408799162</v>
      </c>
      <c r="K896">
        <v>1.17103856951698</v>
      </c>
      <c r="L896">
        <v>0</v>
      </c>
      <c r="M896">
        <v>8.5838931491281619E-4</v>
      </c>
      <c r="N896">
        <v>6.9910316193020849E-2</v>
      </c>
      <c r="O896">
        <v>1.0227609401692419E-2</v>
      </c>
      <c r="P896">
        <v>1.3499223725207062E-2</v>
      </c>
      <c r="Q896">
        <v>4.2626489871107267E-4</v>
      </c>
      <c r="R896">
        <v>8.5648170074565982E-4</v>
      </c>
      <c r="S896">
        <v>7.3234755071113142E-2</v>
      </c>
      <c r="T896">
        <v>0.85681975501094465</v>
      </c>
      <c r="U896">
        <v>0</v>
      </c>
      <c r="V896">
        <v>9.0980739927199933E-2</v>
      </c>
      <c r="W896">
        <v>4.705943342651725E-2</v>
      </c>
      <c r="X896">
        <v>6.5513186264264806E-3</v>
      </c>
      <c r="Y896">
        <v>2.3310608503129158E-3</v>
      </c>
    </row>
    <row r="897" spans="1:25" x14ac:dyDescent="0.25">
      <c r="A897" s="1096"/>
      <c r="B897" s="1455">
        <v>647</v>
      </c>
      <c r="C897" s="1100">
        <v>1.0234647937398893</v>
      </c>
      <c r="D897" s="1100">
        <v>1.0248485529740352</v>
      </c>
      <c r="E897" s="1100">
        <v>0.98845449100578331</v>
      </c>
      <c r="F897" s="1100">
        <v>0.97312761856955898</v>
      </c>
      <c r="G897" s="1100">
        <v>1.0386488633206863</v>
      </c>
      <c r="H897" s="1100">
        <v>0.96902251465816835</v>
      </c>
      <c r="I897" s="1100">
        <v>1.0203084479753239</v>
      </c>
      <c r="K897">
        <v>1.1157000132774264</v>
      </c>
      <c r="L897">
        <v>0</v>
      </c>
      <c r="M897">
        <v>7.6894689017606161E-4</v>
      </c>
      <c r="N897">
        <v>6.8328302850118899E-2</v>
      </c>
      <c r="O897">
        <v>1.0009539644329312E-2</v>
      </c>
      <c r="P897">
        <v>1.3107434939475141E-2</v>
      </c>
      <c r="Q897">
        <v>4.2961509333547254E-4</v>
      </c>
      <c r="R897">
        <v>7.6718941963110356E-4</v>
      </c>
      <c r="S897">
        <v>7.0474658623831885E-2</v>
      </c>
      <c r="T897">
        <v>0.80613859519135156</v>
      </c>
      <c r="U897">
        <v>0</v>
      </c>
      <c r="V897">
        <v>9.3178565526868248E-2</v>
      </c>
      <c r="W897">
        <v>4.5197543935258974E-2</v>
      </c>
      <c r="X897">
        <v>6.7494782470897529E-3</v>
      </c>
      <c r="Y897">
        <v>2.0880366963116513E-3</v>
      </c>
    </row>
    <row r="898" spans="1:25" x14ac:dyDescent="0.25">
      <c r="A898" s="1096"/>
      <c r="B898" s="1455">
        <v>648</v>
      </c>
      <c r="C898" s="1100">
        <v>1.0199294157562946</v>
      </c>
      <c r="D898" s="1100">
        <v>1.020592342888998</v>
      </c>
      <c r="E898" s="1100">
        <v>1.0269228997967987</v>
      </c>
      <c r="F898" s="1100">
        <v>0.99120178054207342</v>
      </c>
      <c r="G898" s="1100">
        <v>1.0099584751156661</v>
      </c>
      <c r="H898" s="1100">
        <v>0.97495568377882769</v>
      </c>
      <c r="I898" s="1100">
        <v>1.01184654083133</v>
      </c>
      <c r="K898">
        <v>1.1327787892325378</v>
      </c>
      <c r="L898">
        <v>0</v>
      </c>
      <c r="M898">
        <v>7.1792276741446213E-4</v>
      </c>
      <c r="N898">
        <v>7.1652921960678212E-2</v>
      </c>
      <c r="O898">
        <v>1.0073228650002874E-2</v>
      </c>
      <c r="P898">
        <v>1.364547727309485E-2</v>
      </c>
      <c r="Q898">
        <v>4.4932077372601497E-4</v>
      </c>
      <c r="R898">
        <v>7.1629190085124731E-4</v>
      </c>
      <c r="S898">
        <v>7.0564116466005342E-2</v>
      </c>
      <c r="T898">
        <v>0.81859634182344643</v>
      </c>
      <c r="U898">
        <v>0</v>
      </c>
      <c r="V898">
        <v>9.2041094990844827E-2</v>
      </c>
      <c r="W898">
        <v>4.633169380654141E-2</v>
      </c>
      <c r="X898">
        <v>7.4767139262055041E-3</v>
      </c>
      <c r="Y898">
        <v>1.9495104285554401E-3</v>
      </c>
    </row>
    <row r="899" spans="1:25" x14ac:dyDescent="0.25">
      <c r="A899" s="1096"/>
      <c r="B899" s="1455">
        <v>649</v>
      </c>
      <c r="C899" s="1100">
        <v>1.0137848458219934</v>
      </c>
      <c r="D899" s="1100">
        <v>1.010656390187767</v>
      </c>
      <c r="E899" s="1100">
        <v>0.97366829513962938</v>
      </c>
      <c r="F899" s="1100">
        <v>1.0132412587172728</v>
      </c>
      <c r="G899" s="1100">
        <v>1.0119631419407111</v>
      </c>
      <c r="H899" s="1100">
        <v>0.98410897710106482</v>
      </c>
      <c r="I899" s="1100">
        <v>0.98155716359313272</v>
      </c>
      <c r="K899">
        <v>1.1508511079924195</v>
      </c>
      <c r="L899">
        <v>0</v>
      </c>
      <c r="M899">
        <v>8.1740236343526805E-4</v>
      </c>
      <c r="N899">
        <v>6.9458832063199707E-2</v>
      </c>
      <c r="O899">
        <v>1.0156898096123175E-2</v>
      </c>
      <c r="P899">
        <v>1.3393369651663233E-2</v>
      </c>
      <c r="Q899">
        <v>4.2944097911372072E-4</v>
      </c>
      <c r="R899">
        <v>8.1556278515399069E-4</v>
      </c>
      <c r="S899">
        <v>6.9513671087251899E-2</v>
      </c>
      <c r="T899">
        <v>0.840369783166663</v>
      </c>
      <c r="U899">
        <v>0</v>
      </c>
      <c r="V899">
        <v>9.2266842942869742E-2</v>
      </c>
      <c r="W899">
        <v>4.6357065398590448E-2</v>
      </c>
      <c r="X899">
        <v>6.6873511342353913E-3</v>
      </c>
      <c r="Y899">
        <v>2.2196930509892909E-3</v>
      </c>
    </row>
    <row r="900" spans="1:25" x14ac:dyDescent="0.25">
      <c r="A900" s="1096"/>
      <c r="B900" s="1455">
        <v>650</v>
      </c>
      <c r="C900" s="1100">
        <v>1.0044305428584015</v>
      </c>
      <c r="D900" s="1100">
        <v>1.0261579620386563</v>
      </c>
      <c r="E900" s="1100">
        <v>1.0089910015628101</v>
      </c>
      <c r="F900" s="1100">
        <v>1.0357873942431264</v>
      </c>
      <c r="G900" s="1100">
        <v>1.0138838834168595</v>
      </c>
      <c r="H900" s="1100">
        <v>1.0212725206563094</v>
      </c>
      <c r="I900" s="1100">
        <v>0.97430745597811497</v>
      </c>
      <c r="K900">
        <v>1.1776715906740107</v>
      </c>
      <c r="L900">
        <v>0</v>
      </c>
      <c r="M900">
        <v>7.9093087233601085E-4</v>
      </c>
      <c r="N900">
        <v>7.4789760742696332E-2</v>
      </c>
      <c r="O900">
        <v>1.020063734693326E-2</v>
      </c>
      <c r="P900">
        <v>1.3996613539837425E-2</v>
      </c>
      <c r="Q900">
        <v>4.4695544593183174E-4</v>
      </c>
      <c r="R900">
        <v>7.8921564196093418E-4</v>
      </c>
      <c r="S900">
        <v>7.0591305704839027E-2</v>
      </c>
      <c r="T900">
        <v>0.85663678163881218</v>
      </c>
      <c r="U900">
        <v>0</v>
      </c>
      <c r="V900">
        <v>9.2581211718689618E-2</v>
      </c>
      <c r="W900">
        <v>4.8870864603944228E-2</v>
      </c>
      <c r="X900">
        <v>7.411190350150915E-3</v>
      </c>
      <c r="Y900">
        <v>2.1479848125512116E-3</v>
      </c>
    </row>
    <row r="901" spans="1:25" x14ac:dyDescent="0.25">
      <c r="A901" s="1096"/>
      <c r="B901" s="1455">
        <v>651</v>
      </c>
      <c r="C901" s="1100">
        <v>1.038177205331799</v>
      </c>
      <c r="D901" s="1100">
        <v>0.99521632313913111</v>
      </c>
      <c r="E901" s="1100">
        <v>0.96984183869258533</v>
      </c>
      <c r="F901" s="1100">
        <v>1.0294462875237822</v>
      </c>
      <c r="G901" s="1100">
        <v>1.0149610834778255</v>
      </c>
      <c r="H901" s="1100">
        <v>0.99391125510502043</v>
      </c>
      <c r="I901" s="1100">
        <v>0.99618678405533434</v>
      </c>
      <c r="K901">
        <v>1.1631305371795031</v>
      </c>
      <c r="L901">
        <v>0</v>
      </c>
      <c r="M901">
        <v>8.1756208104573705E-4</v>
      </c>
      <c r="N901">
        <v>6.8673766659062552E-2</v>
      </c>
      <c r="O901">
        <v>9.9783206192378716E-3</v>
      </c>
      <c r="P901">
        <v>1.3534861254601115E-2</v>
      </c>
      <c r="Q901">
        <v>4.2024543908634674E-4</v>
      </c>
      <c r="R901">
        <v>8.1574028938509382E-4</v>
      </c>
      <c r="S901">
        <v>6.9818693423149211E-2</v>
      </c>
      <c r="T901">
        <v>0.85407442274331979</v>
      </c>
      <c r="U901">
        <v>0</v>
      </c>
      <c r="V901">
        <v>9.1820553162140439E-2</v>
      </c>
      <c r="W901">
        <v>4.5939826593520347E-2</v>
      </c>
      <c r="X901">
        <v>6.6514929180528119E-3</v>
      </c>
      <c r="Y901">
        <v>2.2201761589921002E-3</v>
      </c>
    </row>
    <row r="902" spans="1:25" x14ac:dyDescent="0.25">
      <c r="A902" s="1096"/>
      <c r="B902" s="1455">
        <v>652</v>
      </c>
      <c r="C902" s="1100">
        <v>0.97374137517891601</v>
      </c>
      <c r="D902" s="1100">
        <v>1.0120631971009759</v>
      </c>
      <c r="E902" s="1100">
        <v>0.98550081224543373</v>
      </c>
      <c r="F902" s="1100">
        <v>0.97815454539345958</v>
      </c>
      <c r="G902" s="1100">
        <v>1.0267605846380856</v>
      </c>
      <c r="H902" s="1100">
        <v>0.99608923545817241</v>
      </c>
      <c r="I902" s="1100">
        <v>1.0028385929302912</v>
      </c>
      <c r="K902">
        <v>1.1352022141740621</v>
      </c>
      <c r="L902">
        <v>0</v>
      </c>
      <c r="M902">
        <v>8.4009086000852331E-4</v>
      </c>
      <c r="N902">
        <v>7.3990908110826259E-2</v>
      </c>
      <c r="O902">
        <v>1.057264649130483E-2</v>
      </c>
      <c r="P902">
        <v>1.3199796021920637E-2</v>
      </c>
      <c r="Q902">
        <v>4.5242894750963255E-4</v>
      </c>
      <c r="R902">
        <v>8.3822296014311444E-4</v>
      </c>
      <c r="S902">
        <v>7.4402079952608752E-2</v>
      </c>
      <c r="T902">
        <v>0.81049539349164068</v>
      </c>
      <c r="U902">
        <v>0</v>
      </c>
      <c r="V902">
        <v>9.3906099899641785E-2</v>
      </c>
      <c r="W902">
        <v>4.9030108550503729E-2</v>
      </c>
      <c r="X902">
        <v>6.8732540305862892E-3</v>
      </c>
      <c r="Y902">
        <v>2.28136657738501E-3</v>
      </c>
    </row>
    <row r="903" spans="1:25" x14ac:dyDescent="0.25">
      <c r="A903" s="1096"/>
      <c r="B903" s="1455">
        <v>653</v>
      </c>
      <c r="C903" s="1100">
        <v>1.0004456300470606</v>
      </c>
      <c r="D903" s="1100">
        <v>1.0220168511100205</v>
      </c>
      <c r="E903" s="1100">
        <v>1.0355366945643327</v>
      </c>
      <c r="F903" s="1100">
        <v>1.0232680705330208</v>
      </c>
      <c r="G903" s="1100">
        <v>0.99882958509004383</v>
      </c>
      <c r="H903" s="1100">
        <v>1.0105487370555273</v>
      </c>
      <c r="I903" s="1100">
        <v>0.99422888063457959</v>
      </c>
      <c r="K903">
        <v>1.1687011069485194</v>
      </c>
      <c r="L903">
        <v>0</v>
      </c>
      <c r="M903">
        <v>7.4471098383799468E-4</v>
      </c>
      <c r="N903">
        <v>7.6287790207503911E-2</v>
      </c>
      <c r="O903">
        <v>1.0266484703005103E-2</v>
      </c>
      <c r="P903">
        <v>1.411474348326895E-2</v>
      </c>
      <c r="Q903">
        <v>4.6185506513853091E-4</v>
      </c>
      <c r="R903">
        <v>7.4307884885464423E-4</v>
      </c>
      <c r="S903">
        <v>7.2072363058110281E-2</v>
      </c>
      <c r="T903">
        <v>0.8445040651952832</v>
      </c>
      <c r="U903">
        <v>0</v>
      </c>
      <c r="V903">
        <v>9.2040417637241162E-2</v>
      </c>
      <c r="W903">
        <v>4.9082862325464792E-2</v>
      </c>
      <c r="X903">
        <v>7.8497417377803996E-3</v>
      </c>
      <c r="Y903">
        <v>2.0224156707056508E-3</v>
      </c>
    </row>
    <row r="904" spans="1:25" x14ac:dyDescent="0.25">
      <c r="A904" s="1096"/>
      <c r="B904" s="1455">
        <v>654</v>
      </c>
      <c r="C904" s="1100">
        <v>0.99743451347074008</v>
      </c>
      <c r="D904" s="1100">
        <v>0.99054330266722446</v>
      </c>
      <c r="E904" s="1100">
        <v>1.0080514599213066</v>
      </c>
      <c r="F904" s="1100">
        <v>1.0219854627597074</v>
      </c>
      <c r="G904" s="1100">
        <v>0.99415107618773302</v>
      </c>
      <c r="H904" s="1100">
        <v>1.01015977666463</v>
      </c>
      <c r="I904" s="1100">
        <v>1.0346752817943801</v>
      </c>
      <c r="K904">
        <v>1.1727918735927771</v>
      </c>
      <c r="L904">
        <v>0</v>
      </c>
      <c r="M904">
        <v>8.0058284744187046E-4</v>
      </c>
      <c r="N904">
        <v>7.5486191565889288E-2</v>
      </c>
      <c r="O904">
        <v>1.0418044539072187E-2</v>
      </c>
      <c r="P904">
        <v>1.3901699163095601E-2</v>
      </c>
      <c r="Q904">
        <v>4.5605257456422457E-4</v>
      </c>
      <c r="R904">
        <v>7.9882758610184523E-4</v>
      </c>
      <c r="S904">
        <v>7.6396073299084932E-2</v>
      </c>
      <c r="T904">
        <v>0.84528534780853004</v>
      </c>
      <c r="U904">
        <v>0</v>
      </c>
      <c r="V904">
        <v>9.1910619258791959E-2</v>
      </c>
      <c r="W904">
        <v>4.9353309898702284E-2</v>
      </c>
      <c r="X904">
        <v>7.4121453904592233E-3</v>
      </c>
      <c r="Y904">
        <v>2.1741453559262374E-3</v>
      </c>
    </row>
    <row r="905" spans="1:25" x14ac:dyDescent="0.25">
      <c r="A905" s="1096"/>
      <c r="B905" s="1455">
        <v>655</v>
      </c>
      <c r="C905" s="1100">
        <v>0.98014003332339827</v>
      </c>
      <c r="D905" s="1100">
        <v>0.99798781244336943</v>
      </c>
      <c r="E905" s="1100">
        <v>1.0039838968357568</v>
      </c>
      <c r="F905" s="1100">
        <v>0.98851588987740302</v>
      </c>
      <c r="G905" s="1100">
        <v>1.02342373899031</v>
      </c>
      <c r="H905" s="1100">
        <v>0.99161357628277569</v>
      </c>
      <c r="I905" s="1100">
        <v>1.0418890113389125</v>
      </c>
      <c r="K905">
        <v>1.1465959974519122</v>
      </c>
      <c r="L905">
        <v>0</v>
      </c>
      <c r="M905">
        <v>8.0412199491150006E-4</v>
      </c>
      <c r="N905">
        <v>7.4891175409381894E-2</v>
      </c>
      <c r="O905">
        <v>1.0568804295651714E-2</v>
      </c>
      <c r="P905">
        <v>1.3518745072829172E-2</v>
      </c>
      <c r="Q905">
        <v>4.6077062850172565E-4</v>
      </c>
      <c r="R905">
        <v>8.0232600019305327E-4</v>
      </c>
      <c r="S905">
        <v>7.7178188117602173E-2</v>
      </c>
      <c r="T905">
        <v>0.81786804130778434</v>
      </c>
      <c r="U905">
        <v>0</v>
      </c>
      <c r="V905">
        <v>9.3599843837012198E-2</v>
      </c>
      <c r="W905">
        <v>4.9082239047453423E-2</v>
      </c>
      <c r="X905">
        <v>7.2463188445832088E-3</v>
      </c>
      <c r="Y905">
        <v>2.1836668858306097E-3</v>
      </c>
    </row>
    <row r="906" spans="1:25" x14ac:dyDescent="0.25">
      <c r="A906" s="1096"/>
      <c r="B906" s="1455">
        <v>656</v>
      </c>
      <c r="C906" s="1100">
        <v>1.0128834990372249</v>
      </c>
      <c r="D906" s="1100">
        <v>1.0045031180046733</v>
      </c>
      <c r="E906" s="1100">
        <v>1.0157404547346816</v>
      </c>
      <c r="F906" s="1100">
        <v>0.97247709392552661</v>
      </c>
      <c r="G906" s="1100">
        <v>1.0156475153634692</v>
      </c>
      <c r="H906" s="1100">
        <v>1.0155128225204821</v>
      </c>
      <c r="I906" s="1100">
        <v>0.98511634080087229</v>
      </c>
      <c r="K906">
        <v>1.1245882448383409</v>
      </c>
      <c r="L906">
        <v>0</v>
      </c>
      <c r="M906">
        <v>7.7563249066465371E-4</v>
      </c>
      <c r="N906">
        <v>7.4851784464634225E-2</v>
      </c>
      <c r="O906">
        <v>1.0204359175955508E-2</v>
      </c>
      <c r="P906">
        <v>1.3346998496429658E-2</v>
      </c>
      <c r="Q906">
        <v>4.5014147913270724E-4</v>
      </c>
      <c r="R906">
        <v>7.7394089657339515E-4</v>
      </c>
      <c r="S906">
        <v>7.1335592613097396E-2</v>
      </c>
      <c r="T906">
        <v>0.8038447636402325</v>
      </c>
      <c r="U906">
        <v>0</v>
      </c>
      <c r="V906">
        <v>9.2451633233404912E-2</v>
      </c>
      <c r="W906">
        <v>4.8717474234273618E-2</v>
      </c>
      <c r="X906">
        <v>7.2807771043454919E-3</v>
      </c>
      <c r="Y906">
        <v>2.1064119909247948E-3</v>
      </c>
    </row>
    <row r="907" spans="1:25" x14ac:dyDescent="0.25">
      <c r="A907" s="1096"/>
      <c r="B907" s="1455">
        <v>657</v>
      </c>
      <c r="C907" s="1100">
        <v>0.97248666133344586</v>
      </c>
      <c r="D907" s="1100">
        <v>1.0147721595586634</v>
      </c>
      <c r="E907" s="1100">
        <v>1.003548835588526</v>
      </c>
      <c r="F907" s="1100">
        <v>1.0205557456747161</v>
      </c>
      <c r="G907" s="1100">
        <v>0.98538760476727982</v>
      </c>
      <c r="H907" s="1100">
        <v>0.97274964499510563</v>
      </c>
      <c r="I907" s="1100">
        <v>0.97897616391549491</v>
      </c>
      <c r="K907">
        <v>1.1642826604510608</v>
      </c>
      <c r="L907">
        <v>0</v>
      </c>
      <c r="M907">
        <v>7.9045994614776113E-4</v>
      </c>
      <c r="N907">
        <v>7.3518906048438179E-2</v>
      </c>
      <c r="O907">
        <v>1.0581007694869554E-2</v>
      </c>
      <c r="P907">
        <v>1.3782539707140858E-2</v>
      </c>
      <c r="Q907">
        <v>4.611013923885914E-4</v>
      </c>
      <c r="R907">
        <v>7.8866022854127353E-4</v>
      </c>
      <c r="S907">
        <v>7.169648332521715E-2</v>
      </c>
      <c r="T907">
        <v>0.8444061864607515</v>
      </c>
      <c r="U907">
        <v>0</v>
      </c>
      <c r="V907">
        <v>9.2172701624850958E-2</v>
      </c>
      <c r="W907">
        <v>4.8195303632828222E-2</v>
      </c>
      <c r="X907">
        <v>7.3237571218675726E-3</v>
      </c>
      <c r="Y907">
        <v>2.1464731603148802E-3</v>
      </c>
    </row>
    <row r="908" spans="1:25" x14ac:dyDescent="0.25">
      <c r="A908" s="1096"/>
      <c r="B908" s="1455">
        <v>658</v>
      </c>
      <c r="C908" s="1100">
        <v>0.99710947833641383</v>
      </c>
      <c r="D908" s="1100">
        <v>0.99941519582518346</v>
      </c>
      <c r="E908" s="1100">
        <v>1.0102363643362395</v>
      </c>
      <c r="F908" s="1100">
        <v>1.0146057170548937</v>
      </c>
      <c r="G908" s="1100">
        <v>1.0044581539566546</v>
      </c>
      <c r="H908" s="1100">
        <v>0.96297919341919458</v>
      </c>
      <c r="I908" s="1100">
        <v>0.97864893800940056</v>
      </c>
      <c r="K908">
        <v>1.1542690136678537</v>
      </c>
      <c r="L908">
        <v>0</v>
      </c>
      <c r="M908">
        <v>7.5727670577459228E-4</v>
      </c>
      <c r="N908">
        <v>7.1867735029990609E-2</v>
      </c>
      <c r="O908">
        <v>1.0385055141066793E-2</v>
      </c>
      <c r="P908">
        <v>1.3757570792661893E-2</v>
      </c>
      <c r="Q908">
        <v>4.5560292799668876E-4</v>
      </c>
      <c r="R908">
        <v>7.5553504619789414E-4</v>
      </c>
      <c r="S908">
        <v>7.0070950175045624E-2</v>
      </c>
      <c r="T908">
        <v>0.83903544459273016</v>
      </c>
      <c r="U908">
        <v>0</v>
      </c>
      <c r="V908">
        <v>9.2359665829534948E-2</v>
      </c>
      <c r="W908">
        <v>4.6927002112290013E-2</v>
      </c>
      <c r="X908">
        <v>7.3554113924237264E-3</v>
      </c>
      <c r="Y908">
        <v>2.0563173336896256E-3</v>
      </c>
    </row>
    <row r="909" spans="1:25" x14ac:dyDescent="0.25">
      <c r="A909" s="1096"/>
      <c r="B909" s="1455">
        <v>659</v>
      </c>
      <c r="C909" s="1100">
        <v>0.95420865653138531</v>
      </c>
      <c r="D909" s="1100">
        <v>1.0245828197483144</v>
      </c>
      <c r="E909" s="1100">
        <v>0.99949383618333976</v>
      </c>
      <c r="F909" s="1100">
        <v>1.0140137188246956</v>
      </c>
      <c r="G909" s="1100">
        <v>1.0336487247786168</v>
      </c>
      <c r="H909" s="1100">
        <v>1.0055598109122166</v>
      </c>
      <c r="I909" s="1100">
        <v>0.98119574466130477</v>
      </c>
      <c r="K909">
        <v>1.1701194891020295</v>
      </c>
      <c r="L909">
        <v>0</v>
      </c>
      <c r="M909">
        <v>8.3658376684611364E-4</v>
      </c>
      <c r="N909">
        <v>7.6867185195731214E-2</v>
      </c>
      <c r="O909">
        <v>1.0740888693593758E-2</v>
      </c>
      <c r="P909">
        <v>1.3740199147044115E-2</v>
      </c>
      <c r="Q909">
        <v>4.6616635298903628E-4</v>
      </c>
      <c r="R909">
        <v>8.3474118366146045E-4</v>
      </c>
      <c r="S909">
        <v>7.4228368864268202E-2</v>
      </c>
      <c r="T909">
        <v>0.83926534367890238</v>
      </c>
      <c r="U909">
        <v>0</v>
      </c>
      <c r="V909">
        <v>9.4723488990875473E-2</v>
      </c>
      <c r="W909">
        <v>5.0511711804502674E-2</v>
      </c>
      <c r="X909">
        <v>7.3060886277358378E-3</v>
      </c>
      <c r="Y909">
        <v>2.2718903295692546E-3</v>
      </c>
    </row>
    <row r="910" spans="1:25" x14ac:dyDescent="0.25">
      <c r="A910" s="1096"/>
      <c r="B910" s="1455">
        <v>660</v>
      </c>
      <c r="C910" s="1100">
        <v>1.0108327699150006</v>
      </c>
      <c r="D910" s="1100">
        <v>1.0133394530904747</v>
      </c>
      <c r="E910" s="1100">
        <v>1.0177621353520836</v>
      </c>
      <c r="F910" s="1100">
        <v>0.98297716953886627</v>
      </c>
      <c r="G910" s="1100">
        <v>1.0036046784379606</v>
      </c>
      <c r="H910" s="1100">
        <v>0.967575131114915</v>
      </c>
      <c r="I910" s="1100">
        <v>1.0114732286125716</v>
      </c>
      <c r="K910">
        <v>1.1266486255873791</v>
      </c>
      <c r="L910">
        <v>0</v>
      </c>
      <c r="M910">
        <v>7.3483200320695959E-4</v>
      </c>
      <c r="N910">
        <v>7.1340570477274864E-2</v>
      </c>
      <c r="O910">
        <v>1.0189955297769098E-2</v>
      </c>
      <c r="P910">
        <v>1.3475601896812699E-2</v>
      </c>
      <c r="Q910">
        <v>4.504120512166129E-4</v>
      </c>
      <c r="R910">
        <v>7.3314999177680315E-4</v>
      </c>
      <c r="S910">
        <v>7.1124961079789648E-2</v>
      </c>
      <c r="T910">
        <v>0.81239358651371074</v>
      </c>
      <c r="U910">
        <v>0</v>
      </c>
      <c r="V910">
        <v>9.1986851238184855E-2</v>
      </c>
      <c r="W910">
        <v>4.6377164243429109E-2</v>
      </c>
      <c r="X910">
        <v>7.3158122058354777E-3</v>
      </c>
      <c r="Y910">
        <v>1.9953925947866218E-3</v>
      </c>
    </row>
    <row r="911" spans="1:25" x14ac:dyDescent="0.25">
      <c r="A911" s="1096"/>
      <c r="B911" s="1455">
        <v>661</v>
      </c>
      <c r="C911" s="1100">
        <v>1.0153787527020832</v>
      </c>
      <c r="D911" s="1100">
        <v>1.0037487765227298</v>
      </c>
      <c r="E911" s="1100">
        <v>1.0029667577748695</v>
      </c>
      <c r="F911" s="1100">
        <v>0.97744406916615534</v>
      </c>
      <c r="G911" s="1100">
        <v>0.96820571688995249</v>
      </c>
      <c r="H911" s="1100">
        <v>0.97622985088982661</v>
      </c>
      <c r="I911" s="1100">
        <v>0.99076643442208745</v>
      </c>
      <c r="K911">
        <v>1.1195832076594108</v>
      </c>
      <c r="L911">
        <v>0</v>
      </c>
      <c r="M911">
        <v>7.6402662571371305E-4</v>
      </c>
      <c r="N911">
        <v>7.0936153379869082E-2</v>
      </c>
      <c r="O911">
        <v>1.017822436613003E-2</v>
      </c>
      <c r="P911">
        <v>1.3242139281305451E-2</v>
      </c>
      <c r="Q911">
        <v>4.4328984109674827E-4</v>
      </c>
      <c r="R911">
        <v>7.6229329278204236E-4</v>
      </c>
      <c r="S911">
        <v>7.0024032449731211E-2</v>
      </c>
      <c r="T911">
        <v>0.80877326154728468</v>
      </c>
      <c r="U911">
        <v>0</v>
      </c>
      <c r="V911">
        <v>9.0361492479571037E-2</v>
      </c>
      <c r="W911">
        <v>4.6518229784063614E-2</v>
      </c>
      <c r="X911">
        <v>7.03340681025264E-3</v>
      </c>
      <c r="Y911">
        <v>2.0747110530362897E-3</v>
      </c>
    </row>
    <row r="912" spans="1:25" x14ac:dyDescent="0.25">
      <c r="A912" s="1096"/>
      <c r="B912" s="1455">
        <v>662</v>
      </c>
      <c r="C912" s="1100">
        <v>0.99606358345140722</v>
      </c>
      <c r="D912" s="1100">
        <v>1.0365770950983459</v>
      </c>
      <c r="E912" s="1100">
        <v>1.0205648875973585</v>
      </c>
      <c r="F912" s="1100">
        <v>1.0127234402159</v>
      </c>
      <c r="G912" s="1100">
        <v>0.99834646832359875</v>
      </c>
      <c r="H912" s="1100">
        <v>0.9906829153686586</v>
      </c>
      <c r="I912" s="1100">
        <v>1.0000023622772638</v>
      </c>
      <c r="K912">
        <v>1.155951872253022</v>
      </c>
      <c r="L912">
        <v>0</v>
      </c>
      <c r="M912">
        <v>7.5224502075458221E-4</v>
      </c>
      <c r="N912">
        <v>7.3655196327004901E-2</v>
      </c>
      <c r="O912">
        <v>1.0248597829594143E-2</v>
      </c>
      <c r="P912">
        <v>1.3847697226260216E-2</v>
      </c>
      <c r="Q912">
        <v>4.5426870988412492E-4</v>
      </c>
      <c r="R912">
        <v>7.5056331416423401E-4</v>
      </c>
      <c r="S912">
        <v>7.1466848245009637E-2</v>
      </c>
      <c r="T912">
        <v>0.83679160440374012</v>
      </c>
      <c r="U912">
        <v>0</v>
      </c>
      <c r="V912">
        <v>9.2126209824425515E-2</v>
      </c>
      <c r="W912">
        <v>4.7803357053142273E-2</v>
      </c>
      <c r="X912">
        <v>7.516988422525581E-3</v>
      </c>
      <c r="Y912">
        <v>2.0427859180250267E-3</v>
      </c>
    </row>
    <row r="913" spans="1:25" x14ac:dyDescent="0.25">
      <c r="A913" s="1096"/>
      <c r="B913" s="1455">
        <v>663</v>
      </c>
      <c r="C913" s="1100">
        <v>1.0061964254419058</v>
      </c>
      <c r="D913" s="1100">
        <v>0.97992167649034223</v>
      </c>
      <c r="E913" s="1100">
        <v>1.0095538755794089</v>
      </c>
      <c r="F913" s="1100">
        <v>1.0029555592276078</v>
      </c>
      <c r="G913" s="1100">
        <v>0.98435705410605201</v>
      </c>
      <c r="H913" s="1100">
        <v>0.99714358223676158</v>
      </c>
      <c r="I913" s="1100">
        <v>0.96299310942046645</v>
      </c>
      <c r="K913">
        <v>1.1477771289873069</v>
      </c>
      <c r="L913">
        <v>0</v>
      </c>
      <c r="M913">
        <v>7.8431959548878546E-4</v>
      </c>
      <c r="N913">
        <v>7.4286839900016013E-2</v>
      </c>
      <c r="O913">
        <v>1.0372449512331251E-2</v>
      </c>
      <c r="P913">
        <v>1.3608142604495443E-2</v>
      </c>
      <c r="Q913">
        <v>4.5473953990106213E-4</v>
      </c>
      <c r="R913">
        <v>7.8257754416843483E-4</v>
      </c>
      <c r="S913">
        <v>7.0365876046293421E-2</v>
      </c>
      <c r="T913">
        <v>0.82944636146948436</v>
      </c>
      <c r="U913">
        <v>0</v>
      </c>
      <c r="V913">
        <v>9.1275798518590218E-2</v>
      </c>
      <c r="W913">
        <v>4.8526115993098654E-2</v>
      </c>
      <c r="X913">
        <v>7.3126293558081921E-3</v>
      </c>
      <c r="Y913">
        <v>2.1299180986083777E-3</v>
      </c>
    </row>
    <row r="914" spans="1:25" x14ac:dyDescent="0.25">
      <c r="A914" s="1096"/>
      <c r="B914" s="1455">
        <v>664</v>
      </c>
      <c r="C914" s="1100">
        <v>1.0111654471505349</v>
      </c>
      <c r="D914" s="1100">
        <v>0.98252022976004616</v>
      </c>
      <c r="E914" s="1100">
        <v>1.0296494134406737</v>
      </c>
      <c r="F914" s="1100">
        <v>1.0093847722116696</v>
      </c>
      <c r="G914" s="1100">
        <v>1.0158243636301461</v>
      </c>
      <c r="H914" s="1100">
        <v>1.0259955267355105</v>
      </c>
      <c r="I914" s="1100">
        <v>0.98365699375468585</v>
      </c>
      <c r="K914">
        <v>1.1604519512122575</v>
      </c>
      <c r="L914">
        <v>0</v>
      </c>
      <c r="M914">
        <v>7.6934961625193729E-4</v>
      </c>
      <c r="N914">
        <v>7.7428196138872946E-2</v>
      </c>
      <c r="O914">
        <v>1.0317120070251208E-2</v>
      </c>
      <c r="P914">
        <v>1.3914133299128778E-2</v>
      </c>
      <c r="Q914">
        <v>4.614430572439327E-4</v>
      </c>
      <c r="R914">
        <v>7.6768886781603278E-4</v>
      </c>
      <c r="S914">
        <v>7.2598992145007743E-2</v>
      </c>
      <c r="T914">
        <v>0.83343331282920508</v>
      </c>
      <c r="U914">
        <v>0</v>
      </c>
      <c r="V914">
        <v>9.2502901707823576E-2</v>
      </c>
      <c r="W914">
        <v>4.9986777678693306E-2</v>
      </c>
      <c r="X914">
        <v>7.7213390048373942E-3</v>
      </c>
      <c r="Y914">
        <v>2.0893960296279792E-3</v>
      </c>
    </row>
    <row r="915" spans="1:25" x14ac:dyDescent="0.25">
      <c r="A915" s="1096"/>
      <c r="B915" s="1455">
        <v>665</v>
      </c>
      <c r="C915" s="1100">
        <v>0.99419399262480046</v>
      </c>
      <c r="D915" s="1100">
        <v>1.0071299286598689</v>
      </c>
      <c r="E915" s="1100">
        <v>1.0201197171886613</v>
      </c>
      <c r="F915" s="1100">
        <v>0.97934444464590165</v>
      </c>
      <c r="G915" s="1100">
        <v>1.0027023238827202</v>
      </c>
      <c r="H915" s="1100">
        <v>1.0074905222981001</v>
      </c>
      <c r="I915" s="1100">
        <v>1.0267543330484274</v>
      </c>
      <c r="K915">
        <v>1.1359843501088216</v>
      </c>
      <c r="L915">
        <v>0</v>
      </c>
      <c r="M915">
        <v>7.7605101921726768E-4</v>
      </c>
      <c r="N915">
        <v>7.5886992431363195E-2</v>
      </c>
      <c r="O915">
        <v>1.038677423515811E-2</v>
      </c>
      <c r="P915">
        <v>1.3518529267970845E-2</v>
      </c>
      <c r="Q915">
        <v>4.6018970397179964E-4</v>
      </c>
      <c r="R915">
        <v>7.7434503549821923E-4</v>
      </c>
      <c r="S915">
        <v>7.5316311413112402E-2</v>
      </c>
      <c r="T915">
        <v>0.80923983427077795</v>
      </c>
      <c r="U915">
        <v>0</v>
      </c>
      <c r="V915">
        <v>9.2359109756997154E-2</v>
      </c>
      <c r="W915">
        <v>4.9264652878179806E-2</v>
      </c>
      <c r="X915">
        <v>7.4461502111545751E-3</v>
      </c>
      <c r="Y915">
        <v>2.1075119238538041E-3</v>
      </c>
    </row>
    <row r="916" spans="1:25" x14ac:dyDescent="0.25">
      <c r="A916" s="1096"/>
      <c r="B916" s="1455">
        <v>666</v>
      </c>
      <c r="C916" s="1100">
        <v>0.9969900778932751</v>
      </c>
      <c r="D916" s="1100">
        <v>0.98071597838241664</v>
      </c>
      <c r="E916" s="1100">
        <v>0.9963423872979178</v>
      </c>
      <c r="F916" s="1100">
        <v>1.0137195994710868</v>
      </c>
      <c r="G916" s="1100">
        <v>1.0309265743546261</v>
      </c>
      <c r="H916" s="1100">
        <v>1.0229545263117532</v>
      </c>
      <c r="I916" s="1100">
        <v>0.98726678360248776</v>
      </c>
      <c r="K916">
        <v>1.1665125323081047</v>
      </c>
      <c r="L916">
        <v>0</v>
      </c>
      <c r="M916">
        <v>8.3435330796530107E-4</v>
      </c>
      <c r="N916">
        <v>7.5938532138792744E-2</v>
      </c>
      <c r="O916">
        <v>1.0460464891306599E-2</v>
      </c>
      <c r="P916">
        <v>1.3684926123417334E-2</v>
      </c>
      <c r="Q916">
        <v>4.5255812001843398E-4</v>
      </c>
      <c r="R916">
        <v>8.3254688584921872E-4</v>
      </c>
      <c r="S916">
        <v>7.3807781207861453E-2</v>
      </c>
      <c r="T916">
        <v>0.83923362966434223</v>
      </c>
      <c r="U916">
        <v>0</v>
      </c>
      <c r="V916">
        <v>9.3492228497495361E-2</v>
      </c>
      <c r="W916">
        <v>4.9995175847163814E-2</v>
      </c>
      <c r="X916">
        <v>7.1831240655489516E-3</v>
      </c>
      <c r="Y916">
        <v>2.2659181742744131E-3</v>
      </c>
    </row>
    <row r="917" spans="1:25" x14ac:dyDescent="0.25">
      <c r="A917" s="1096"/>
      <c r="B917" s="1455">
        <v>667</v>
      </c>
      <c r="C917" s="1100">
        <v>0.987870462618607</v>
      </c>
      <c r="D917" s="1100">
        <v>0.98363848025877032</v>
      </c>
      <c r="E917" s="1100">
        <v>0.96432141299504059</v>
      </c>
      <c r="F917" s="1100">
        <v>1.0203060341569659</v>
      </c>
      <c r="G917" s="1100">
        <v>1.0249912215970884</v>
      </c>
      <c r="H917" s="1100">
        <v>0.98426742219486729</v>
      </c>
      <c r="I917" s="1100">
        <v>1.0042600482237687</v>
      </c>
      <c r="K917">
        <v>1.1671422518494972</v>
      </c>
      <c r="L917">
        <v>0</v>
      </c>
      <c r="M917">
        <v>8.6464474794588602E-4</v>
      </c>
      <c r="N917">
        <v>7.1422893698992351E-2</v>
      </c>
      <c r="O917">
        <v>1.0533828491884214E-2</v>
      </c>
      <c r="P917">
        <v>1.3459373797640149E-2</v>
      </c>
      <c r="Q917">
        <v>4.4114095859513179E-4</v>
      </c>
      <c r="R917">
        <v>8.6269916310013862E-4</v>
      </c>
      <c r="S917">
        <v>7.4007195863718025E-2</v>
      </c>
      <c r="T917">
        <v>0.84687015924458975</v>
      </c>
      <c r="U917">
        <v>0</v>
      </c>
      <c r="V917">
        <v>9.3464014125621026E-2</v>
      </c>
      <c r="W917">
        <v>4.7940052519704804E-2</v>
      </c>
      <c r="X917">
        <v>6.6575560003402628E-3</v>
      </c>
      <c r="Y917">
        <v>2.3479827332558924E-3</v>
      </c>
    </row>
    <row r="918" spans="1:25" x14ac:dyDescent="0.25">
      <c r="A918" s="1096"/>
      <c r="B918" s="1455">
        <v>668</v>
      </c>
      <c r="C918" s="1100">
        <v>0.99538721287591359</v>
      </c>
      <c r="D918" s="1100">
        <v>0.99056310583712825</v>
      </c>
      <c r="E918" s="1100">
        <v>1.0246564841970933</v>
      </c>
      <c r="F918" s="1100">
        <v>1.0223594897675183</v>
      </c>
      <c r="G918" s="1100">
        <v>1.0003723585322559</v>
      </c>
      <c r="H918" s="1100">
        <v>0.98980986711341834</v>
      </c>
      <c r="I918" s="1100">
        <v>0.98641910931188637</v>
      </c>
      <c r="K918">
        <v>1.167565450831219</v>
      </c>
      <c r="L918">
        <v>0</v>
      </c>
      <c r="M918">
        <v>7.5938237529945369E-4</v>
      </c>
      <c r="N918">
        <v>7.5277189478808029E-2</v>
      </c>
      <c r="O918">
        <v>1.0444883256541831E-2</v>
      </c>
      <c r="P918">
        <v>1.4007282711563105E-2</v>
      </c>
      <c r="Q918">
        <v>4.6485336524473532E-4</v>
      </c>
      <c r="R918">
        <v>7.5768321515652594E-4</v>
      </c>
      <c r="S918">
        <v>7.21777898070744E-2</v>
      </c>
      <c r="T918">
        <v>0.84447979009797114</v>
      </c>
      <c r="U918">
        <v>0</v>
      </c>
      <c r="V918">
        <v>9.2230399697929122E-2</v>
      </c>
      <c r="W918">
        <v>4.8739482905507607E-2</v>
      </c>
      <c r="X918">
        <v>7.6833147292685788E-3</v>
      </c>
      <c r="Y918">
        <v>2.0621639414513159E-3</v>
      </c>
    </row>
    <row r="919" spans="1:25" x14ac:dyDescent="0.25">
      <c r="A919" s="1096"/>
      <c r="B919" s="1455">
        <v>669</v>
      </c>
      <c r="C919" s="1100">
        <v>0.95808937823171714</v>
      </c>
      <c r="D919" s="1100">
        <v>1.0095941552813972</v>
      </c>
      <c r="E919" s="1100">
        <v>1.0053082026627047</v>
      </c>
      <c r="F919" s="1100">
        <v>1.0401777684664548</v>
      </c>
      <c r="G919" s="1100">
        <v>1.0266576294617682</v>
      </c>
      <c r="H919" s="1100">
        <v>0.98365772442163224</v>
      </c>
      <c r="I919" s="1100">
        <v>1.0290035441754419</v>
      </c>
      <c r="K919">
        <v>1.1924306343232753</v>
      </c>
      <c r="L919">
        <v>0</v>
      </c>
      <c r="M919">
        <v>8.1003368466458668E-4</v>
      </c>
      <c r="N919">
        <v>7.5742728670260773E-2</v>
      </c>
      <c r="O919">
        <v>1.0762607993168078E-2</v>
      </c>
      <c r="P919">
        <v>1.4125540392847188E-2</v>
      </c>
      <c r="Q919">
        <v>4.6984335329147963E-4</v>
      </c>
      <c r="R919">
        <v>8.0820985342508391E-4</v>
      </c>
      <c r="S919">
        <v>7.7171467749560269E-2</v>
      </c>
      <c r="T919">
        <v>0.86052052085665343</v>
      </c>
      <c r="U919">
        <v>0</v>
      </c>
      <c r="V919">
        <v>9.4320276849270482E-2</v>
      </c>
      <c r="W919">
        <v>4.9601417306610204E-2</v>
      </c>
      <c r="X919">
        <v>7.5183741881349195E-3</v>
      </c>
      <c r="Y919">
        <v>2.1996807947164999E-3</v>
      </c>
    </row>
    <row r="920" spans="1:25" x14ac:dyDescent="0.25">
      <c r="A920" s="1096"/>
      <c r="B920" s="1455">
        <v>670</v>
      </c>
      <c r="C920" s="1100">
        <v>1.0356964034643157</v>
      </c>
      <c r="D920" s="1100">
        <v>0.99738663005279959</v>
      </c>
      <c r="E920" s="1100">
        <v>1.0301759039327125</v>
      </c>
      <c r="F920" s="1100">
        <v>1.0366828383573647</v>
      </c>
      <c r="G920" s="1100">
        <v>1.0024445626337479</v>
      </c>
      <c r="H920" s="1100">
        <v>0.99396625419318263</v>
      </c>
      <c r="I920" s="1100">
        <v>0.97538073934375824</v>
      </c>
      <c r="K920">
        <v>1.1699136019191103</v>
      </c>
      <c r="L920">
        <v>0</v>
      </c>
      <c r="M920">
        <v>7.2252752499726608E-4</v>
      </c>
      <c r="N920">
        <v>7.2826395114554701E-2</v>
      </c>
      <c r="O920">
        <v>1.00125956529615E-2</v>
      </c>
      <c r="P920">
        <v>1.4160067446431893E-2</v>
      </c>
      <c r="Q920">
        <v>4.4805609241285477E-4</v>
      </c>
      <c r="R920">
        <v>7.209175900263668E-4</v>
      </c>
      <c r="S920">
        <v>6.8516304024098876E-2</v>
      </c>
      <c r="T920">
        <v>0.8559372959680378</v>
      </c>
      <c r="U920">
        <v>0</v>
      </c>
      <c r="V920">
        <v>9.1350416265929754E-2</v>
      </c>
      <c r="W920">
        <v>4.7001538840324195E-2</v>
      </c>
      <c r="X920">
        <v>7.7004424196984722E-3</v>
      </c>
      <c r="Y920">
        <v>1.9621000296320881E-3</v>
      </c>
    </row>
    <row r="921" spans="1:25" x14ac:dyDescent="0.25">
      <c r="A921" s="1096"/>
      <c r="B921" s="1455">
        <v>671</v>
      </c>
      <c r="C921" s="1100">
        <v>1.0045545899594104</v>
      </c>
      <c r="D921" s="1100">
        <v>0.9897211126767741</v>
      </c>
      <c r="E921" s="1100">
        <v>0.98785322918383012</v>
      </c>
      <c r="F921" s="1100">
        <v>0.97781959780006411</v>
      </c>
      <c r="G921" s="1100">
        <v>1.0014819608572998</v>
      </c>
      <c r="H921" s="1100">
        <v>1.0078183277889849</v>
      </c>
      <c r="I921" s="1100">
        <v>1.0384206240208154</v>
      </c>
      <c r="K921">
        <v>1.1331980229822545</v>
      </c>
      <c r="L921">
        <v>0</v>
      </c>
      <c r="M921">
        <v>8.2726278357264183E-4</v>
      </c>
      <c r="N921">
        <v>7.3383170414352841E-2</v>
      </c>
      <c r="O921">
        <v>1.0341034019828256E-2</v>
      </c>
      <c r="P921">
        <v>1.3214426674289331E-2</v>
      </c>
      <c r="Q921">
        <v>4.4357308585065477E-4</v>
      </c>
      <c r="R921">
        <v>8.2544481315149671E-4</v>
      </c>
      <c r="S921">
        <v>7.603795472044142E-2</v>
      </c>
      <c r="T921">
        <v>0.81006457818014521</v>
      </c>
      <c r="U921">
        <v>0</v>
      </c>
      <c r="V921">
        <v>9.2044942273086863E-2</v>
      </c>
      <c r="W921">
        <v>4.8558731256044069E-2</v>
      </c>
      <c r="X921">
        <v>6.8648416550488416E-3</v>
      </c>
      <c r="Y921">
        <v>2.2465886735888499E-3</v>
      </c>
    </row>
    <row r="922" spans="1:25" x14ac:dyDescent="0.25">
      <c r="A922" s="1096"/>
      <c r="B922" s="1455">
        <v>672</v>
      </c>
      <c r="C922" s="1100">
        <v>0.99901597494956118</v>
      </c>
      <c r="D922" s="1100">
        <v>1.0157660780019597</v>
      </c>
      <c r="E922" s="1100">
        <v>1.0203287734990871</v>
      </c>
      <c r="F922" s="1100">
        <v>1.0131203301803611</v>
      </c>
      <c r="G922" s="1100">
        <v>0.99074125414545688</v>
      </c>
      <c r="H922" s="1100">
        <v>0.97693110432679497</v>
      </c>
      <c r="I922" s="1100">
        <v>1.0275280464587642</v>
      </c>
      <c r="K922">
        <v>1.1568197348917717</v>
      </c>
      <c r="L922">
        <v>0</v>
      </c>
      <c r="M922">
        <v>7.4600158114544442E-4</v>
      </c>
      <c r="N922">
        <v>7.2989565748017918E-2</v>
      </c>
      <c r="O922">
        <v>1.0301464985132134E-2</v>
      </c>
      <c r="P922">
        <v>1.3871463081711104E-2</v>
      </c>
      <c r="Q922">
        <v>4.5650490228789527E-4</v>
      </c>
      <c r="R922">
        <v>7.4431035615024502E-4</v>
      </c>
      <c r="S922">
        <v>7.3410766009217213E-2</v>
      </c>
      <c r="T922">
        <v>0.83713522452081401</v>
      </c>
      <c r="U922">
        <v>0</v>
      </c>
      <c r="V922">
        <v>9.1727566934704116E-2</v>
      </c>
      <c r="W922">
        <v>4.737789455105601E-2</v>
      </c>
      <c r="X922">
        <v>7.5252079562276612E-3</v>
      </c>
      <c r="Y922">
        <v>2.0257674275980047E-3</v>
      </c>
    </row>
    <row r="923" spans="1:25" x14ac:dyDescent="0.25">
      <c r="A923" s="1096"/>
      <c r="B923" s="1455">
        <v>673</v>
      </c>
      <c r="C923" s="1100">
        <v>0.97895428333150458</v>
      </c>
      <c r="D923" s="1100">
        <v>0.99509746434223056</v>
      </c>
      <c r="E923" s="1100">
        <v>0.973704782476846</v>
      </c>
      <c r="F923" s="1100">
        <v>0.99005525992514742</v>
      </c>
      <c r="G923" s="1100">
        <v>1.022349426846221</v>
      </c>
      <c r="H923" s="1100">
        <v>1.021699489212633</v>
      </c>
      <c r="I923" s="1100">
        <v>0.98981818844237024</v>
      </c>
      <c r="K923">
        <v>1.1481234089072907</v>
      </c>
      <c r="L923">
        <v>0</v>
      </c>
      <c r="M923">
        <v>8.8422275119996361E-4</v>
      </c>
      <c r="N923">
        <v>7.5151435383559714E-2</v>
      </c>
      <c r="O923">
        <v>1.0583763857811032E-2</v>
      </c>
      <c r="P923">
        <v>1.3224014832861578E-2</v>
      </c>
      <c r="Q923">
        <v>4.475058256656963E-4</v>
      </c>
      <c r="R923">
        <v>8.8230600731315173E-4</v>
      </c>
      <c r="S923">
        <v>7.4723015214425856E-2</v>
      </c>
      <c r="T923">
        <v>0.82113717982174728</v>
      </c>
      <c r="U923">
        <v>0</v>
      </c>
      <c r="V923">
        <v>9.3580475112837083E-2</v>
      </c>
      <c r="W923">
        <v>5.0155218021753177E-2</v>
      </c>
      <c r="X923">
        <v>6.7213714807061384E-3</v>
      </c>
      <c r="Y923">
        <v>2.4013460998092572E-3</v>
      </c>
    </row>
    <row r="924" spans="1:25" x14ac:dyDescent="0.25">
      <c r="A924" s="1096"/>
      <c r="B924" s="1455">
        <v>674</v>
      </c>
      <c r="C924" s="1100">
        <v>1.0250131850894266</v>
      </c>
      <c r="D924" s="1100">
        <v>1.0251926868617165</v>
      </c>
      <c r="E924" s="1100">
        <v>0.97777096794676943</v>
      </c>
      <c r="F924" s="1100">
        <v>0.97239905665345605</v>
      </c>
      <c r="G924" s="1100">
        <v>0.97375397031496469</v>
      </c>
      <c r="H924" s="1100">
        <v>0.99115118484845521</v>
      </c>
      <c r="I924" s="1100">
        <v>0.99577284746984884</v>
      </c>
      <c r="K924">
        <v>1.1132625426742353</v>
      </c>
      <c r="L924">
        <v>0</v>
      </c>
      <c r="M924">
        <v>8.0276118515060061E-4</v>
      </c>
      <c r="N924">
        <v>6.9068120121291807E-2</v>
      </c>
      <c r="O924">
        <v>9.9897086058040752E-3</v>
      </c>
      <c r="P924">
        <v>1.2952301015170887E-2</v>
      </c>
      <c r="Q924">
        <v>4.2414125420775934E-4</v>
      </c>
      <c r="R924">
        <v>8.0096739333207284E-4</v>
      </c>
      <c r="S924">
        <v>6.9517993248837409E-2</v>
      </c>
      <c r="T924">
        <v>0.80622851125738404</v>
      </c>
      <c r="U924">
        <v>0</v>
      </c>
      <c r="V924">
        <v>9.0365506905308479E-2</v>
      </c>
      <c r="W924">
        <v>4.5981862969480453E-2</v>
      </c>
      <c r="X924">
        <v>6.5562218827490927E-3</v>
      </c>
      <c r="Y924">
        <v>2.1799692058196516E-3</v>
      </c>
    </row>
    <row r="925" spans="1:25" x14ac:dyDescent="0.25">
      <c r="A925" s="1096"/>
      <c r="B925" s="1455">
        <v>675</v>
      </c>
      <c r="C925" s="1100">
        <v>0.98882314401817628</v>
      </c>
      <c r="D925" s="1100">
        <v>0.98427558413550664</v>
      </c>
      <c r="E925" s="1100">
        <v>1.0397201582687763</v>
      </c>
      <c r="F925" s="1100">
        <v>1.0224971573741108</v>
      </c>
      <c r="G925" s="1100">
        <v>0.99898400667348541</v>
      </c>
      <c r="H925" s="1100">
        <v>1.0113247277450443</v>
      </c>
      <c r="I925" s="1100">
        <v>0.9564337029881067</v>
      </c>
      <c r="K925">
        <v>1.1719507637310425</v>
      </c>
      <c r="L925">
        <v>0</v>
      </c>
      <c r="M925">
        <v>7.5882622495279249E-4</v>
      </c>
      <c r="N925">
        <v>7.8719861524179244E-2</v>
      </c>
      <c r="O925">
        <v>1.0546075681887481E-2</v>
      </c>
      <c r="P925">
        <v>1.4141478448199055E-2</v>
      </c>
      <c r="Q925">
        <v>4.7639110929947626E-4</v>
      </c>
      <c r="R925">
        <v>7.5716443058276655E-4</v>
      </c>
      <c r="S925">
        <v>7.1549188293244817E-2</v>
      </c>
      <c r="T925">
        <v>0.84358985085744409</v>
      </c>
      <c r="U925">
        <v>0</v>
      </c>
      <c r="V925">
        <v>9.2339118789642488E-2</v>
      </c>
      <c r="W925">
        <v>5.052552276843153E-2</v>
      </c>
      <c r="X925">
        <v>8.004186072224544E-3</v>
      </c>
      <c r="Y925">
        <v>2.0607519808588299E-3</v>
      </c>
    </row>
    <row r="926" spans="1:25" x14ac:dyDescent="0.25">
      <c r="A926" s="1096"/>
      <c r="B926" s="1455">
        <v>676</v>
      </c>
      <c r="C926" s="1100">
        <v>0.99812177982173855</v>
      </c>
      <c r="D926" s="1100">
        <v>1.0261718687341836</v>
      </c>
      <c r="E926" s="1100">
        <v>0.98079406125125856</v>
      </c>
      <c r="F926" s="1100">
        <v>0.9806398415147074</v>
      </c>
      <c r="G926" s="1100">
        <v>0.98435728525347188</v>
      </c>
      <c r="H926" s="1100">
        <v>0.99116523040189508</v>
      </c>
      <c r="I926" s="1100">
        <v>1.0092629252511232</v>
      </c>
      <c r="K926">
        <v>1.1277733760123745</v>
      </c>
      <c r="L926">
        <v>0</v>
      </c>
      <c r="M926">
        <v>8.1895131928573321E-4</v>
      </c>
      <c r="N926">
        <v>7.11085803458614E-2</v>
      </c>
      <c r="O926">
        <v>1.0255912522951641E-2</v>
      </c>
      <c r="P926">
        <v>1.3123907445040493E-2</v>
      </c>
      <c r="Q926">
        <v>4.367842591026096E-4</v>
      </c>
      <c r="R926">
        <v>8.1712137610181763E-4</v>
      </c>
      <c r="S926">
        <v>7.2326749099939358E-2</v>
      </c>
      <c r="T926">
        <v>0.81286279541247253</v>
      </c>
      <c r="U926">
        <v>0</v>
      </c>
      <c r="V926">
        <v>9.1470596091749998E-2</v>
      </c>
      <c r="W926">
        <v>4.7253906408830447E-2</v>
      </c>
      <c r="X926">
        <v>6.7120393478491969E-3</v>
      </c>
      <c r="Y926">
        <v>2.2239350217599088E-3</v>
      </c>
    </row>
    <row r="927" spans="1:25" x14ac:dyDescent="0.25">
      <c r="A927" s="1096"/>
      <c r="B927" s="1455">
        <v>677</v>
      </c>
      <c r="C927" s="1100">
        <v>0.97790384615015935</v>
      </c>
      <c r="D927" s="1100">
        <v>0.97486996358416289</v>
      </c>
      <c r="E927" s="1100">
        <v>1.025233761208461</v>
      </c>
      <c r="F927" s="1100">
        <v>1.0015774561470501</v>
      </c>
      <c r="G927" s="1100">
        <v>1.0372601103033623</v>
      </c>
      <c r="H927" s="1100">
        <v>1.0061639636855484</v>
      </c>
      <c r="I927" s="1100">
        <v>0.97361890637997173</v>
      </c>
      <c r="K927">
        <v>1.1593667181094114</v>
      </c>
      <c r="L927">
        <v>0</v>
      </c>
      <c r="M927">
        <v>7.8981531868326091E-4</v>
      </c>
      <c r="N927">
        <v>7.8433270370323563E-2</v>
      </c>
      <c r="O927">
        <v>1.0699947067774503E-2</v>
      </c>
      <c r="P927">
        <v>1.3824695497456753E-2</v>
      </c>
      <c r="Q927">
        <v>4.7647770188865408E-4</v>
      </c>
      <c r="R927">
        <v>7.8807678795227978E-4</v>
      </c>
      <c r="S927">
        <v>7.3783224393966645E-2</v>
      </c>
      <c r="T927">
        <v>0.82727579838759635</v>
      </c>
      <c r="U927">
        <v>0</v>
      </c>
      <c r="V927">
        <v>9.4252289149761997E-2</v>
      </c>
      <c r="W927">
        <v>5.0765858667355571E-2</v>
      </c>
      <c r="X927">
        <v>7.7120101766551333E-3</v>
      </c>
      <c r="Y927">
        <v>2.1448852273627771E-3</v>
      </c>
    </row>
    <row r="928" spans="1:25" x14ac:dyDescent="0.25">
      <c r="A928" s="1096"/>
      <c r="B928" s="1455">
        <v>678</v>
      </c>
      <c r="C928" s="1100">
        <v>1.0448675497989532</v>
      </c>
      <c r="D928" s="1100">
        <v>1.0198118944404984</v>
      </c>
      <c r="E928" s="1100">
        <v>1.0235092391204563</v>
      </c>
      <c r="F928" s="1100">
        <v>1.0237654776880454</v>
      </c>
      <c r="G928" s="1100">
        <v>0.98584065644623597</v>
      </c>
      <c r="H928" s="1100">
        <v>1.0083120358019508</v>
      </c>
      <c r="I928" s="1100">
        <v>1.0054373566541845</v>
      </c>
      <c r="K928">
        <v>1.1584845441879064</v>
      </c>
      <c r="L928">
        <v>0</v>
      </c>
      <c r="M928">
        <v>7.3015765398103127E-4</v>
      </c>
      <c r="N928">
        <v>7.2133126577727358E-2</v>
      </c>
      <c r="O928">
        <v>9.8347524622974351E-3</v>
      </c>
      <c r="P928">
        <v>1.3954181238057396E-2</v>
      </c>
      <c r="Q928">
        <v>4.3720146571270816E-4</v>
      </c>
      <c r="R928">
        <v>7.2855386483935318E-4</v>
      </c>
      <c r="S928">
        <v>6.9762933429207516E-2</v>
      </c>
      <c r="T928">
        <v>0.84571799252425384</v>
      </c>
      <c r="U928">
        <v>0</v>
      </c>
      <c r="V928">
        <v>9.0429649967507797E-2</v>
      </c>
      <c r="W928">
        <v>4.6735064065382852E-2</v>
      </c>
      <c r="X928">
        <v>7.4983627945253567E-3</v>
      </c>
      <c r="Y928">
        <v>1.982883452375721E-3</v>
      </c>
    </row>
    <row r="929" spans="1:25" x14ac:dyDescent="0.25">
      <c r="A929" s="1096"/>
      <c r="B929" s="1455">
        <v>679</v>
      </c>
      <c r="C929" s="1100">
        <v>1.0282094133966522</v>
      </c>
      <c r="D929" s="1100">
        <v>1.0224179555411801</v>
      </c>
      <c r="E929" s="1100">
        <v>0.97436101891422988</v>
      </c>
      <c r="F929" s="1100">
        <v>0.98965632422663485</v>
      </c>
      <c r="G929" s="1100">
        <v>1.0107329138236041</v>
      </c>
      <c r="H929" s="1100">
        <v>1.0063792592721408</v>
      </c>
      <c r="I929" s="1100">
        <v>1.0019920118442902</v>
      </c>
      <c r="K929">
        <v>1.1316945489110775</v>
      </c>
      <c r="L929">
        <v>0</v>
      </c>
      <c r="M929">
        <v>8.1919468857020658E-4</v>
      </c>
      <c r="N929">
        <v>6.9760735555379691E-2</v>
      </c>
      <c r="O929">
        <v>9.9683853944453008E-3</v>
      </c>
      <c r="P929">
        <v>1.3145256344327647E-2</v>
      </c>
      <c r="Q929">
        <v>4.2176837224513304E-4</v>
      </c>
      <c r="R929">
        <v>8.1739187413023087E-4</v>
      </c>
      <c r="S929">
        <v>7.0426127722814522E-2</v>
      </c>
      <c r="T929">
        <v>0.82076276620136135</v>
      </c>
      <c r="U929">
        <v>0</v>
      </c>
      <c r="V929">
        <v>9.1871500027635347E-2</v>
      </c>
      <c r="W929">
        <v>4.6538993637830935E-2</v>
      </c>
      <c r="X929">
        <v>6.5761472412538069E-3</v>
      </c>
      <c r="Y929">
        <v>2.224671228223599E-3</v>
      </c>
    </row>
    <row r="930" spans="1:25" x14ac:dyDescent="0.25">
      <c r="A930" s="1096"/>
      <c r="B930" s="1455">
        <v>680</v>
      </c>
      <c r="C930" s="1100">
        <v>0.98845296764386936</v>
      </c>
      <c r="D930" s="1100">
        <v>1.0242560000437564</v>
      </c>
      <c r="E930" s="1100">
        <v>0.99638948141175299</v>
      </c>
      <c r="F930" s="1100">
        <v>1.0135284581569313</v>
      </c>
      <c r="G930" s="1100">
        <v>1.0029833084986357</v>
      </c>
      <c r="H930" s="1100">
        <v>1.0067587708591095</v>
      </c>
      <c r="I930" s="1100">
        <v>1.0164096794068185</v>
      </c>
      <c r="K930">
        <v>1.1625824514002026</v>
      </c>
      <c r="L930">
        <v>0</v>
      </c>
      <c r="M930">
        <v>8.1388942338657616E-4</v>
      </c>
      <c r="N930">
        <v>7.4083972199398815E-2</v>
      </c>
      <c r="O930">
        <v>1.0369083053053632E-2</v>
      </c>
      <c r="P930">
        <v>1.3676397828809351E-2</v>
      </c>
      <c r="Q930">
        <v>4.4862588549597816E-4</v>
      </c>
      <c r="R930">
        <v>8.1209895952040793E-4</v>
      </c>
      <c r="S930">
        <v>7.4286545192889922E-2</v>
      </c>
      <c r="T930">
        <v>0.83907222280008875</v>
      </c>
      <c r="U930">
        <v>0</v>
      </c>
      <c r="V930">
        <v>9.2512183395861286E-2</v>
      </c>
      <c r="W930">
        <v>4.8772831731412523E-2</v>
      </c>
      <c r="X930">
        <v>7.1521141175938593E-3</v>
      </c>
      <c r="Y930">
        <v>2.2102656594644937E-3</v>
      </c>
    </row>
    <row r="931" spans="1:25" x14ac:dyDescent="0.25">
      <c r="A931" s="1096"/>
      <c r="B931" s="1455">
        <v>681</v>
      </c>
      <c r="C931" s="1100">
        <v>1.008855051660297</v>
      </c>
      <c r="D931" s="1100">
        <v>1.0235279191206168</v>
      </c>
      <c r="E931" s="1100">
        <v>0.98699638877295603</v>
      </c>
      <c r="F931" s="1100">
        <v>0.98737086214193659</v>
      </c>
      <c r="G931" s="1100">
        <v>1.0181948580712206</v>
      </c>
      <c r="H931" s="1100">
        <v>1.0138028808501403</v>
      </c>
      <c r="I931" s="1100">
        <v>1.020788629134193</v>
      </c>
      <c r="K931">
        <v>1.1374721786150193</v>
      </c>
      <c r="L931">
        <v>0</v>
      </c>
      <c r="M931">
        <v>8.190212243184711E-4</v>
      </c>
      <c r="N931">
        <v>7.2465032148090761E-2</v>
      </c>
      <c r="O931">
        <v>1.0159263929224532E-2</v>
      </c>
      <c r="P931">
        <v>1.3286035482215495E-2</v>
      </c>
      <c r="Q931">
        <v>4.3539836924737522E-4</v>
      </c>
      <c r="R931">
        <v>8.1723199002623154E-4</v>
      </c>
      <c r="S931">
        <v>7.340061536082694E-2</v>
      </c>
      <c r="T931">
        <v>0.81803357971498225</v>
      </c>
      <c r="U931">
        <v>0</v>
      </c>
      <c r="V931">
        <v>9.2654355931758567E-2</v>
      </c>
      <c r="W931">
        <v>4.7975855430940142E-2</v>
      </c>
      <c r="X931">
        <v>6.8395954056271651E-3</v>
      </c>
      <c r="Y931">
        <v>2.2242360763982936E-3</v>
      </c>
    </row>
    <row r="932" spans="1:25" x14ac:dyDescent="0.25">
      <c r="A932" s="1096"/>
      <c r="B932" s="1455">
        <v>682</v>
      </c>
      <c r="C932" s="1100">
        <v>1.0399886230984847</v>
      </c>
      <c r="D932" s="1100">
        <v>0.99507452787042272</v>
      </c>
      <c r="E932" s="1100">
        <v>1.0374629761772167</v>
      </c>
      <c r="F932" s="1100">
        <v>0.96932820816540943</v>
      </c>
      <c r="G932" s="1100">
        <v>1.0101242877162169</v>
      </c>
      <c r="H932" s="1100">
        <v>1.018830190793274</v>
      </c>
      <c r="I932" s="1100">
        <v>1.0237474991587152</v>
      </c>
      <c r="K932">
        <v>1.1207351240745389</v>
      </c>
      <c r="L932">
        <v>0</v>
      </c>
      <c r="M932">
        <v>7.2709853872812615E-4</v>
      </c>
      <c r="N932">
        <v>7.4918489428250398E-2</v>
      </c>
      <c r="O932">
        <v>9.98284245060976E-3</v>
      </c>
      <c r="P932">
        <v>1.3511465050243608E-2</v>
      </c>
      <c r="Q932">
        <v>4.4994801097566144E-4</v>
      </c>
      <c r="R932">
        <v>7.2551795668417563E-4</v>
      </c>
      <c r="S932">
        <v>7.2709307304792137E-2</v>
      </c>
      <c r="T932">
        <v>0.79986603946703871</v>
      </c>
      <c r="U932">
        <v>0</v>
      </c>
      <c r="V932">
        <v>9.1580919838966685E-2</v>
      </c>
      <c r="W932">
        <v>4.8148273232807286E-2</v>
      </c>
      <c r="X932">
        <v>7.5947991617347803E-3</v>
      </c>
      <c r="Y932">
        <v>1.9746207111641825E-3</v>
      </c>
    </row>
    <row r="933" spans="1:25" x14ac:dyDescent="0.25">
      <c r="A933" s="1096"/>
      <c r="B933" s="1455">
        <v>683</v>
      </c>
      <c r="C933" s="1100">
        <v>0.97716254871121311</v>
      </c>
      <c r="D933" s="1100">
        <v>0.9675275912549377</v>
      </c>
      <c r="E933" s="1100">
        <v>1.0074064449082911</v>
      </c>
      <c r="F933" s="1100">
        <v>1.0106412991830844</v>
      </c>
      <c r="G933" s="1100">
        <v>1.0161433649872433</v>
      </c>
      <c r="H933" s="1100">
        <v>0.99178591498443147</v>
      </c>
      <c r="I933" s="1100">
        <v>1.0001844879853741</v>
      </c>
      <c r="K933">
        <v>1.1656682440986563</v>
      </c>
      <c r="L933">
        <v>0</v>
      </c>
      <c r="M933">
        <v>8.1099378973077012E-4</v>
      </c>
      <c r="N933">
        <v>7.631593701372584E-2</v>
      </c>
      <c r="O933">
        <v>1.0734429379661936E-2</v>
      </c>
      <c r="P933">
        <v>1.3774989767903459E-2</v>
      </c>
      <c r="Q933">
        <v>4.6959913532123015E-4</v>
      </c>
      <c r="R933">
        <v>8.0918276170891164E-4</v>
      </c>
      <c r="S933">
        <v>7.5520411070284676E-2</v>
      </c>
      <c r="T933">
        <v>0.83594557136274261</v>
      </c>
      <c r="U933">
        <v>0</v>
      </c>
      <c r="V933">
        <v>9.3366176333405548E-2</v>
      </c>
      <c r="W933">
        <v>4.9914817769986373E-2</v>
      </c>
      <c r="X933">
        <v>7.4257945632984794E-3</v>
      </c>
      <c r="Y933">
        <v>2.2023287303459499E-3</v>
      </c>
    </row>
    <row r="934" spans="1:25" x14ac:dyDescent="0.25">
      <c r="A934" s="1096"/>
      <c r="B934" s="1455">
        <v>684</v>
      </c>
      <c r="C934" s="1100">
        <v>1.0090282643053052</v>
      </c>
      <c r="D934" s="1100">
        <v>0.97229443443712893</v>
      </c>
      <c r="E934" s="1100">
        <v>0.97941926154213532</v>
      </c>
      <c r="F934" s="1100">
        <v>0.99420818338237393</v>
      </c>
      <c r="G934" s="1100">
        <v>0.97797016692329186</v>
      </c>
      <c r="H934" s="1100">
        <v>0.99835562785785115</v>
      </c>
      <c r="I934" s="1100">
        <v>0.98207443063104161</v>
      </c>
      <c r="K934">
        <v>1.1404636244064701</v>
      </c>
      <c r="L934">
        <v>0</v>
      </c>
      <c r="M934">
        <v>8.3614394782472422E-4</v>
      </c>
      <c r="N934">
        <v>7.2301193496097621E-2</v>
      </c>
      <c r="O934">
        <v>1.0365842280696688E-2</v>
      </c>
      <c r="P934">
        <v>1.3248823861245327E-2</v>
      </c>
      <c r="Q934">
        <v>4.4084959376771397E-4</v>
      </c>
      <c r="R934">
        <v>8.3428904416519374E-4</v>
      </c>
      <c r="S934">
        <v>7.1860473553813267E-2</v>
      </c>
      <c r="T934">
        <v>0.82420110947500524</v>
      </c>
      <c r="U934">
        <v>0</v>
      </c>
      <c r="V934">
        <v>9.0928950563513508E-2</v>
      </c>
      <c r="W934">
        <v>4.8086333935573419E-2</v>
      </c>
      <c r="X934">
        <v>6.7612427955067991E-3</v>
      </c>
      <c r="Y934">
        <v>2.2706597549081624E-3</v>
      </c>
    </row>
    <row r="935" spans="1:25" x14ac:dyDescent="0.25">
      <c r="A935" s="1096"/>
      <c r="B935" s="1455">
        <v>685</v>
      </c>
      <c r="C935" s="1100">
        <v>1.0021380477107187</v>
      </c>
      <c r="D935" s="1100">
        <v>0.98236705658841761</v>
      </c>
      <c r="E935" s="1100">
        <v>0.98012516173751263</v>
      </c>
      <c r="F935" s="1100">
        <v>1.000762680249881</v>
      </c>
      <c r="G935" s="1100">
        <v>0.99165559816441373</v>
      </c>
      <c r="H935" s="1100">
        <v>1.0449957223913413</v>
      </c>
      <c r="I935" s="1100">
        <v>0.97846456098390067</v>
      </c>
      <c r="K935">
        <v>1.1546810263632825</v>
      </c>
      <c r="L935">
        <v>0</v>
      </c>
      <c r="M935">
        <v>8.7631810072591953E-4</v>
      </c>
      <c r="N935">
        <v>7.5944596580845708E-2</v>
      </c>
      <c r="O935">
        <v>1.0394405399622631E-2</v>
      </c>
      <c r="P935">
        <v>1.3361441265363774E-2</v>
      </c>
      <c r="Q935">
        <v>4.4238168092964442E-4</v>
      </c>
      <c r="R935">
        <v>8.7446084011813692E-4</v>
      </c>
      <c r="S935">
        <v>7.3573782981156091E-2</v>
      </c>
      <c r="T935">
        <v>0.82958757194840416</v>
      </c>
      <c r="U935">
        <v>0</v>
      </c>
      <c r="V935">
        <v>9.1683143100685219E-2</v>
      </c>
      <c r="W935">
        <v>5.0487972948375398E-2</v>
      </c>
      <c r="X935">
        <v>6.8275935776443836E-3</v>
      </c>
      <c r="Y935">
        <v>2.3799941408630975E-3</v>
      </c>
    </row>
    <row r="936" spans="1:25" x14ac:dyDescent="0.25">
      <c r="A936" s="1096"/>
      <c r="B936" s="1455">
        <v>686</v>
      </c>
      <c r="C936" s="1100">
        <v>0.99758384920653986</v>
      </c>
      <c r="D936" s="1100">
        <v>1.0274801240224349</v>
      </c>
      <c r="E936" s="1100">
        <v>0.96290357907422908</v>
      </c>
      <c r="F936" s="1100">
        <v>0.975010917916172</v>
      </c>
      <c r="G936" s="1100">
        <v>0.99384371613196454</v>
      </c>
      <c r="H936" s="1100">
        <v>1.0445936027959009</v>
      </c>
      <c r="I936" s="1100">
        <v>0.97024141384068607</v>
      </c>
      <c r="K936">
        <v>1.1284088360456246</v>
      </c>
      <c r="L936">
        <v>0</v>
      </c>
      <c r="M936">
        <v>8.9560656773971068E-4</v>
      </c>
      <c r="N936">
        <v>7.3672980804993793E-2</v>
      </c>
      <c r="O936">
        <v>1.0250434776726226E-2</v>
      </c>
      <c r="P936">
        <v>1.2894710649472927E-2</v>
      </c>
      <c r="Q936">
        <v>4.286490111429175E-4</v>
      </c>
      <c r="R936">
        <v>8.9370769663534759E-4</v>
      </c>
      <c r="S936">
        <v>7.1592433963342014E-2</v>
      </c>
      <c r="T936">
        <v>0.80936764423416996</v>
      </c>
      <c r="U936">
        <v>0</v>
      </c>
      <c r="V936">
        <v>9.1887316316290338E-2</v>
      </c>
      <c r="W936">
        <v>4.9493251174933792E-2</v>
      </c>
      <c r="X936">
        <v>6.3909362460790814E-3</v>
      </c>
      <c r="Y936">
        <v>2.4323777395783984E-3</v>
      </c>
    </row>
    <row r="937" spans="1:25" x14ac:dyDescent="0.25">
      <c r="A937" s="1096"/>
      <c r="B937" s="1455">
        <v>687</v>
      </c>
      <c r="C937" s="1100">
        <v>0.96785689557731058</v>
      </c>
      <c r="D937" s="1100">
        <v>1.0063340687489521</v>
      </c>
      <c r="E937" s="1100">
        <v>0.97463962990165776</v>
      </c>
      <c r="F937" s="1100">
        <v>0.97672795020265368</v>
      </c>
      <c r="G937" s="1100">
        <v>1.0422285610925248</v>
      </c>
      <c r="H937" s="1100">
        <v>0.99946414826163743</v>
      </c>
      <c r="I937" s="1100">
        <v>0.97526862997340169</v>
      </c>
      <c r="K937">
        <v>1.1346256486155903</v>
      </c>
      <c r="L937">
        <v>0</v>
      </c>
      <c r="M937">
        <v>8.6929590589071679E-4</v>
      </c>
      <c r="N937">
        <v>7.4088564615752694E-2</v>
      </c>
      <c r="O937">
        <v>1.0657456728857401E-2</v>
      </c>
      <c r="P937">
        <v>1.307883612503704E-2</v>
      </c>
      <c r="Q937">
        <v>4.5105149636005278E-4</v>
      </c>
      <c r="R937">
        <v>8.6736959672117908E-4</v>
      </c>
      <c r="S937">
        <v>7.313419702102987E-2</v>
      </c>
      <c r="T937">
        <v>0.81002249229499146</v>
      </c>
      <c r="U937">
        <v>0</v>
      </c>
      <c r="V937">
        <v>9.4720966774629003E-2</v>
      </c>
      <c r="W937">
        <v>4.9417837397723367E-2</v>
      </c>
      <c r="X937">
        <v>6.6954783564134391E-3</v>
      </c>
      <c r="Y937">
        <v>2.3606941139643349E-3</v>
      </c>
    </row>
    <row r="938" spans="1:25" x14ac:dyDescent="0.25">
      <c r="A938" s="1096"/>
      <c r="B938" s="1455">
        <v>688</v>
      </c>
      <c r="C938" s="1100">
        <v>0.98809368453927315</v>
      </c>
      <c r="D938" s="1100">
        <v>1.00289047404076</v>
      </c>
      <c r="E938" s="1100">
        <v>1.001982499695615</v>
      </c>
      <c r="F938" s="1100">
        <v>0.96522373216420976</v>
      </c>
      <c r="G938" s="1100">
        <v>0.99624061227441696</v>
      </c>
      <c r="H938" s="1100">
        <v>0.97235727226062096</v>
      </c>
      <c r="I938" s="1100">
        <v>1.0107009631356014</v>
      </c>
      <c r="K938">
        <v>1.1176779179048164</v>
      </c>
      <c r="L938">
        <v>0</v>
      </c>
      <c r="M938">
        <v>7.8387687489301608E-4</v>
      </c>
      <c r="N938">
        <v>7.2562435804241723E-2</v>
      </c>
      <c r="O938">
        <v>1.0462538144096947E-2</v>
      </c>
      <c r="P938">
        <v>1.3165279006402658E-2</v>
      </c>
      <c r="Q938">
        <v>4.5522250995781662E-4</v>
      </c>
      <c r="R938">
        <v>7.8209142542280219E-4</v>
      </c>
      <c r="S938">
        <v>7.3275668308536823E-2</v>
      </c>
      <c r="T938">
        <v>0.79872452444446262</v>
      </c>
      <c r="U938">
        <v>0</v>
      </c>
      <c r="V938">
        <v>9.2233883745025821E-2</v>
      </c>
      <c r="W938">
        <v>4.7612497162646816E-2</v>
      </c>
      <c r="X938">
        <v>7.0590591852835258E-3</v>
      </c>
      <c r="Y938">
        <v>2.1285950436317667E-3</v>
      </c>
    </row>
    <row r="939" spans="1:25" x14ac:dyDescent="0.25">
      <c r="A939" s="1096"/>
      <c r="B939" s="1455">
        <v>689</v>
      </c>
      <c r="C939" s="1100">
        <v>0.99625393030761167</v>
      </c>
      <c r="D939" s="1100">
        <v>1.0343971127923652</v>
      </c>
      <c r="E939" s="1100">
        <v>1.0345694365730853</v>
      </c>
      <c r="F939" s="1100">
        <v>0.98227916617581978</v>
      </c>
      <c r="G939" s="1100">
        <v>1.0109998584836264</v>
      </c>
      <c r="H939" s="1100">
        <v>0.99051436022653538</v>
      </c>
      <c r="I939" s="1100">
        <v>1.0350422257740597</v>
      </c>
      <c r="K939">
        <v>1.1342025009477585</v>
      </c>
      <c r="L939">
        <v>0</v>
      </c>
      <c r="M939">
        <v>7.3096909764860203E-4</v>
      </c>
      <c r="N939">
        <v>7.4658819944577376E-2</v>
      </c>
      <c r="O939">
        <v>1.0259830146133833E-2</v>
      </c>
      <c r="P939">
        <v>1.3669108505085938E-2</v>
      </c>
      <c r="Q939">
        <v>4.6111573403199936E-4</v>
      </c>
      <c r="R939">
        <v>7.2933467708096366E-4</v>
      </c>
      <c r="S939">
        <v>7.4046565065477729E-2</v>
      </c>
      <c r="T939">
        <v>0.81073770813559487</v>
      </c>
      <c r="U939">
        <v>0</v>
      </c>
      <c r="V939">
        <v>9.2664582426515901E-2</v>
      </c>
      <c r="W939">
        <v>4.8061668777276668E-2</v>
      </c>
      <c r="X939">
        <v>7.6597280677286076E-3</v>
      </c>
      <c r="Y939">
        <v>1.9850085659026996E-3</v>
      </c>
    </row>
    <row r="940" spans="1:25" x14ac:dyDescent="0.25">
      <c r="A940" s="1096"/>
      <c r="B940" s="1455">
        <v>690</v>
      </c>
      <c r="C940" s="1100">
        <v>1.0272190048032637</v>
      </c>
      <c r="D940" s="1100">
        <v>0.98118579070029421</v>
      </c>
      <c r="E940" s="1100">
        <v>1.0089327169599294</v>
      </c>
      <c r="F940" s="1100">
        <v>0.96582034661827842</v>
      </c>
      <c r="G940" s="1100">
        <v>1.0162304618316735</v>
      </c>
      <c r="H940" s="1100">
        <v>1.0279238811372187</v>
      </c>
      <c r="I940" s="1100">
        <v>1.007029806040233</v>
      </c>
      <c r="K940">
        <v>1.1211994662258558</v>
      </c>
      <c r="L940">
        <v>0</v>
      </c>
      <c r="M940">
        <v>7.9259708000769733E-4</v>
      </c>
      <c r="N940">
        <v>7.4935182082519175E-2</v>
      </c>
      <c r="O940">
        <v>1.0154734160227691E-2</v>
      </c>
      <c r="P940">
        <v>1.3232647671424833E-2</v>
      </c>
      <c r="Q940">
        <v>4.4491819433391228E-4</v>
      </c>
      <c r="R940">
        <v>7.9088935833522176E-4</v>
      </c>
      <c r="S940">
        <v>7.3266416143213706E-2</v>
      </c>
      <c r="T940">
        <v>0.79877500077679786</v>
      </c>
      <c r="U940">
        <v>0</v>
      </c>
      <c r="V940">
        <v>9.2134060845497981E-2</v>
      </c>
      <c r="W940">
        <v>4.8967573514110851E-2</v>
      </c>
      <c r="X940">
        <v>7.1381004426208624E-3</v>
      </c>
      <c r="Y940">
        <v>2.152540116781568E-3</v>
      </c>
    </row>
    <row r="941" spans="1:25" x14ac:dyDescent="0.25">
      <c r="A941" s="1096"/>
      <c r="B941" s="1455">
        <v>691</v>
      </c>
      <c r="C941" s="1100">
        <v>1.003036522010667</v>
      </c>
      <c r="D941" s="1100">
        <v>1.0076036638914441</v>
      </c>
      <c r="E941" s="1100">
        <v>1.0113891246916635</v>
      </c>
      <c r="F941" s="1100">
        <v>1.0112628254259663</v>
      </c>
      <c r="G941" s="1100">
        <v>0.97504480707289043</v>
      </c>
      <c r="H941" s="1100">
        <v>0.98477798217409773</v>
      </c>
      <c r="I941" s="1100">
        <v>0.98856679540081671</v>
      </c>
      <c r="K941">
        <v>1.1524594244035802</v>
      </c>
      <c r="L941">
        <v>0</v>
      </c>
      <c r="M941">
        <v>7.6549859917278884E-4</v>
      </c>
      <c r="N941">
        <v>7.2904989869849363E-2</v>
      </c>
      <c r="O941">
        <v>1.0290423370044183E-2</v>
      </c>
      <c r="P941">
        <v>1.3722895585123835E-2</v>
      </c>
      <c r="Q941">
        <v>4.5197162950702204E-4</v>
      </c>
      <c r="R941">
        <v>7.6377700157429776E-4</v>
      </c>
      <c r="S941">
        <v>7.0940262346213701E-2</v>
      </c>
      <c r="T941">
        <v>0.83619424709118162</v>
      </c>
      <c r="U941">
        <v>0</v>
      </c>
      <c r="V941">
        <v>9.0955648941864059E-2</v>
      </c>
      <c r="W941">
        <v>4.7571964007103312E-2</v>
      </c>
      <c r="X941">
        <v>7.3499939410271E-3</v>
      </c>
      <c r="Y941">
        <v>2.0787492192643367E-3</v>
      </c>
    </row>
    <row r="942" spans="1:25" x14ac:dyDescent="0.25">
      <c r="A942" s="1096"/>
      <c r="B942" s="1455">
        <v>692</v>
      </c>
      <c r="C942" s="1100">
        <v>0.98934617403039093</v>
      </c>
      <c r="D942" s="1100">
        <v>0.99601446913100933</v>
      </c>
      <c r="E942" s="1100">
        <v>1.0080605415036161</v>
      </c>
      <c r="F942" s="1100">
        <v>0.98957334713306067</v>
      </c>
      <c r="G942" s="1100">
        <v>1.0130590155401857</v>
      </c>
      <c r="H942" s="1100">
        <v>0.96821730370188219</v>
      </c>
      <c r="I942" s="1100">
        <v>1.009310718805571</v>
      </c>
      <c r="K942">
        <v>1.1387344570065181</v>
      </c>
      <c r="L942">
        <v>0</v>
      </c>
      <c r="M942">
        <v>7.7189832522800363E-4</v>
      </c>
      <c r="N942">
        <v>7.2776623239662636E-2</v>
      </c>
      <c r="O942">
        <v>1.0480103582496673E-2</v>
      </c>
      <c r="P942">
        <v>1.3503852032494082E-2</v>
      </c>
      <c r="Q942">
        <v>4.5877339446092572E-4</v>
      </c>
      <c r="R942">
        <v>7.7013264181766225E-4</v>
      </c>
      <c r="S942">
        <v>7.3176768086020569E-2</v>
      </c>
      <c r="T942">
        <v>0.81847665718837848</v>
      </c>
      <c r="U942">
        <v>0</v>
      </c>
      <c r="V942">
        <v>9.29220570049758E-2</v>
      </c>
      <c r="W942">
        <v>4.7581523210793161E-2</v>
      </c>
      <c r="X942">
        <v>7.2638177737741295E-3</v>
      </c>
      <c r="Y942">
        <v>2.0960471768705319E-3</v>
      </c>
    </row>
    <row r="943" spans="1:25" x14ac:dyDescent="0.25">
      <c r="A943" s="1096"/>
      <c r="B943" s="1455">
        <v>693</v>
      </c>
      <c r="C943" s="1100">
        <v>1.0062238029110164</v>
      </c>
      <c r="D943" s="1100">
        <v>0.97999752524579087</v>
      </c>
      <c r="E943" s="1100">
        <v>0.95264860337655954</v>
      </c>
      <c r="F943" s="1100">
        <v>1.0200943436524565</v>
      </c>
      <c r="G943" s="1100">
        <v>0.99119397103616169</v>
      </c>
      <c r="H943" s="1100">
        <v>0.98439915834710279</v>
      </c>
      <c r="I943" s="1100">
        <v>1.0021493109166084</v>
      </c>
      <c r="K943">
        <v>1.1609442373719849</v>
      </c>
      <c r="L943">
        <v>0</v>
      </c>
      <c r="M943">
        <v>8.7094643834549602E-4</v>
      </c>
      <c r="N943">
        <v>6.9443020934710969E-2</v>
      </c>
      <c r="O943">
        <v>1.0353243693622756E-2</v>
      </c>
      <c r="P943">
        <v>1.3303199832755221E-2</v>
      </c>
      <c r="Q943">
        <v>4.2840326007035219E-4</v>
      </c>
      <c r="R943">
        <v>8.6898693598192649E-4</v>
      </c>
      <c r="S943">
        <v>7.263495554101114E-2</v>
      </c>
      <c r="T943">
        <v>0.84749875913906925</v>
      </c>
      <c r="U943">
        <v>0</v>
      </c>
      <c r="V943">
        <v>9.1559559844282087E-2</v>
      </c>
      <c r="W943">
        <v>4.6946529049506323E-2</v>
      </c>
      <c r="X943">
        <v>6.4134296010432369E-3</v>
      </c>
      <c r="Y943">
        <v>2.3650959782763451E-3</v>
      </c>
    </row>
    <row r="944" spans="1:25" x14ac:dyDescent="0.25">
      <c r="A944" s="1096"/>
      <c r="B944" s="1455">
        <v>694</v>
      </c>
      <c r="C944" s="1100">
        <v>0.97277199087139998</v>
      </c>
      <c r="D944" s="1100">
        <v>0.99477902154431008</v>
      </c>
      <c r="E944" s="1100">
        <v>1.0074773372432304</v>
      </c>
      <c r="F944" s="1100">
        <v>1.0079044232352208</v>
      </c>
      <c r="G944" s="1100">
        <v>0.99794087090004324</v>
      </c>
      <c r="H944" s="1100">
        <v>0.99734524873231367</v>
      </c>
      <c r="I944" s="1100">
        <v>1.0363682618985941</v>
      </c>
      <c r="K944">
        <v>1.1647259264449379</v>
      </c>
      <c r="L944">
        <v>0</v>
      </c>
      <c r="M944">
        <v>8.100496344087912E-4</v>
      </c>
      <c r="N944">
        <v>7.6244360735893496E-2</v>
      </c>
      <c r="O944">
        <v>1.0663760687621728E-2</v>
      </c>
      <c r="P944">
        <v>1.3765868464879391E-2</v>
      </c>
      <c r="Q944">
        <v>4.6654069946972508E-4</v>
      </c>
      <c r="R944">
        <v>8.0825079793383429E-4</v>
      </c>
      <c r="S944">
        <v>7.7732193788753637E-2</v>
      </c>
      <c r="T944">
        <v>0.83367706841594247</v>
      </c>
      <c r="U944">
        <v>0</v>
      </c>
      <c r="V944">
        <v>9.2702543534778692E-2</v>
      </c>
      <c r="W944">
        <v>4.9865914128725056E-2</v>
      </c>
      <c r="X944">
        <v>7.4096825931757827E-3</v>
      </c>
      <c r="Y944">
        <v>2.1997922321719651E-3</v>
      </c>
    </row>
    <row r="945" spans="1:25" x14ac:dyDescent="0.25">
      <c r="A945" s="1096"/>
      <c r="B945" s="1455">
        <v>695</v>
      </c>
      <c r="C945" s="1100">
        <v>1.0048293952887111</v>
      </c>
      <c r="D945" s="1100">
        <v>1.0153494268050758</v>
      </c>
      <c r="E945" s="1100">
        <v>0.9709703938074945</v>
      </c>
      <c r="F945" s="1100">
        <v>1.0046695654976538</v>
      </c>
      <c r="G945" s="1100">
        <v>1.0153048566738085</v>
      </c>
      <c r="H945" s="1100">
        <v>1.0308200958342206</v>
      </c>
      <c r="I945" s="1100">
        <v>0.9990513244202085</v>
      </c>
      <c r="K945">
        <v>1.1540860614265076</v>
      </c>
      <c r="L945">
        <v>0</v>
      </c>
      <c r="M945">
        <v>8.6704979381547716E-4</v>
      </c>
      <c r="N945">
        <v>7.3085781225955548E-2</v>
      </c>
      <c r="O945">
        <v>1.0227578871525887E-2</v>
      </c>
      <c r="P945">
        <v>1.3325875675753515E-2</v>
      </c>
      <c r="Q945">
        <v>4.3124018511875631E-4</v>
      </c>
      <c r="R945">
        <v>8.6518690583480494E-4</v>
      </c>
      <c r="S945">
        <v>7.3087405492895746E-2</v>
      </c>
      <c r="T945">
        <v>0.83344240212655152</v>
      </c>
      <c r="U945">
        <v>0</v>
      </c>
      <c r="V945">
        <v>9.2627238825009978E-2</v>
      </c>
      <c r="W945">
        <v>4.8857716627088259E-2</v>
      </c>
      <c r="X945">
        <v>6.6479317356939417E-3</v>
      </c>
      <c r="Y945">
        <v>2.3547535488954818E-3</v>
      </c>
    </row>
    <row r="946" spans="1:25" x14ac:dyDescent="0.25">
      <c r="A946" s="1096"/>
      <c r="B946" s="1455">
        <v>696</v>
      </c>
      <c r="C946" s="1100">
        <v>1.0020997718705373</v>
      </c>
      <c r="D946" s="1100">
        <v>0.99474156972550831</v>
      </c>
      <c r="E946" s="1100">
        <v>1.0117447630648762</v>
      </c>
      <c r="F946" s="1100">
        <v>0.98933683025924946</v>
      </c>
      <c r="G946" s="1100">
        <v>1.0243903064359501</v>
      </c>
      <c r="H946" s="1100">
        <v>1.0384297399076488</v>
      </c>
      <c r="I946" s="1100">
        <v>0.98060639080672485</v>
      </c>
      <c r="K946">
        <v>1.1459204800453475</v>
      </c>
      <c r="L946">
        <v>0</v>
      </c>
      <c r="M946">
        <v>8.1152108512691794E-4</v>
      </c>
      <c r="N946">
        <v>7.7380133085170069E-2</v>
      </c>
      <c r="O946">
        <v>1.0353226281651929E-2</v>
      </c>
      <c r="P946">
        <v>1.3535180075172994E-2</v>
      </c>
      <c r="Q946">
        <v>4.5489158246322155E-4</v>
      </c>
      <c r="R946">
        <v>8.0979027961888947E-4</v>
      </c>
      <c r="S946">
        <v>7.3042951710936665E-2</v>
      </c>
      <c r="T946">
        <v>0.81804089124979507</v>
      </c>
      <c r="U946">
        <v>0</v>
      </c>
      <c r="V946">
        <v>9.3088119566816285E-2</v>
      </c>
      <c r="W946">
        <v>5.0481509860563399E-2</v>
      </c>
      <c r="X946">
        <v>7.3413252444558957E-3</v>
      </c>
      <c r="Y946">
        <v>2.2039821938286842E-3</v>
      </c>
    </row>
    <row r="947" spans="1:25" x14ac:dyDescent="0.25">
      <c r="A947" s="1096"/>
      <c r="B947" s="1455">
        <v>697</v>
      </c>
      <c r="C947" s="1100">
        <v>0.9927379521844294</v>
      </c>
      <c r="D947" s="1100">
        <v>0.97105749468386815</v>
      </c>
      <c r="E947" s="1100">
        <v>0.98071228770598473</v>
      </c>
      <c r="F947" s="1100">
        <v>0.98610255914334322</v>
      </c>
      <c r="G947" s="1100">
        <v>1.0181601476727773</v>
      </c>
      <c r="H947" s="1100">
        <v>1.0054739496665304</v>
      </c>
      <c r="I947" s="1100">
        <v>1.0223178343724533</v>
      </c>
      <c r="K947">
        <v>1.1436372880091883</v>
      </c>
      <c r="L947">
        <v>0</v>
      </c>
      <c r="M947">
        <v>8.5407353808714017E-4</v>
      </c>
      <c r="N947">
        <v>7.4142219289591721E-2</v>
      </c>
      <c r="O947">
        <v>1.0541736558087799E-2</v>
      </c>
      <c r="P947">
        <v>1.3259838204042496E-2</v>
      </c>
      <c r="Q947">
        <v>4.4891978753815593E-4</v>
      </c>
      <c r="R947">
        <v>8.5219227289114999E-4</v>
      </c>
      <c r="S947">
        <v>7.6385709113059766E-2</v>
      </c>
      <c r="T947">
        <v>0.81739628895272032</v>
      </c>
      <c r="U947">
        <v>0</v>
      </c>
      <c r="V947">
        <v>9.3050805947600651E-2</v>
      </c>
      <c r="W947">
        <v>4.9272287074890446E-2</v>
      </c>
      <c r="X947">
        <v>6.8219779051507251E-3</v>
      </c>
      <c r="Y947">
        <v>2.3193864417024525E-3</v>
      </c>
    </row>
    <row r="948" spans="1:25" x14ac:dyDescent="0.25">
      <c r="A948" s="1096"/>
      <c r="B948" s="1455">
        <v>698</v>
      </c>
      <c r="C948" s="1100">
        <v>1.0220596217065736</v>
      </c>
      <c r="D948" s="1100">
        <v>0.99785722703809099</v>
      </c>
      <c r="E948" s="1100">
        <v>0.98441664892226421</v>
      </c>
      <c r="F948" s="1100">
        <v>1.012283912817497</v>
      </c>
      <c r="G948" s="1100">
        <v>1.0258195280004416</v>
      </c>
      <c r="H948" s="1100">
        <v>0.97410131559683655</v>
      </c>
      <c r="I948" s="1100">
        <v>1.0157249759533213</v>
      </c>
      <c r="K948">
        <v>1.151193070725812</v>
      </c>
      <c r="L948">
        <v>0</v>
      </c>
      <c r="M948">
        <v>7.8891389115905164E-4</v>
      </c>
      <c r="N948">
        <v>6.9252547558719388E-2</v>
      </c>
      <c r="O948">
        <v>1.0129591513599401E-2</v>
      </c>
      <c r="P948">
        <v>1.3514045954188637E-2</v>
      </c>
      <c r="Q948">
        <v>4.3299347930132943E-4</v>
      </c>
      <c r="R948">
        <v>7.8712018602520185E-4</v>
      </c>
      <c r="S948">
        <v>7.1427753728209628E-2</v>
      </c>
      <c r="T948">
        <v>0.83884805936257156</v>
      </c>
      <c r="U948">
        <v>0</v>
      </c>
      <c r="V948">
        <v>9.2662802459211616E-2</v>
      </c>
      <c r="W948">
        <v>4.5920165494693257E-2</v>
      </c>
      <c r="X948">
        <v>6.8646232081907314E-3</v>
      </c>
      <c r="Y948">
        <v>2.142281672261011E-3</v>
      </c>
    </row>
    <row r="949" spans="1:25" x14ac:dyDescent="0.25">
      <c r="A949" s="1096"/>
      <c r="B949" s="1455">
        <v>699</v>
      </c>
      <c r="C949" s="1100">
        <v>0.969924423950285</v>
      </c>
      <c r="D949" s="1100">
        <v>0.9763951493551597</v>
      </c>
      <c r="E949" s="1100">
        <v>1.0325270578728372</v>
      </c>
      <c r="F949" s="1100">
        <v>0.96291114211013684</v>
      </c>
      <c r="G949" s="1100">
        <v>1.0044821676941456</v>
      </c>
      <c r="H949" s="1100">
        <v>1.0267762180623357</v>
      </c>
      <c r="I949" s="1100">
        <v>1.020739714798937</v>
      </c>
      <c r="K949">
        <v>1.1349993836402004</v>
      </c>
      <c r="L949">
        <v>0</v>
      </c>
      <c r="M949">
        <v>7.9987134947158997E-4</v>
      </c>
      <c r="N949">
        <v>8.1201378631502466E-2</v>
      </c>
      <c r="O949">
        <v>1.0783725761636831E-2</v>
      </c>
      <c r="P949">
        <v>1.3499876249381695E-2</v>
      </c>
      <c r="Q949">
        <v>4.8368580791056736E-4</v>
      </c>
      <c r="R949">
        <v>7.9814602843397025E-4</v>
      </c>
      <c r="S949">
        <v>7.8828597545229223E-2</v>
      </c>
      <c r="T949">
        <v>0.79488010314306368</v>
      </c>
      <c r="U949">
        <v>0</v>
      </c>
      <c r="V949">
        <v>9.3061356085423486E-2</v>
      </c>
      <c r="W949">
        <v>5.2335282772422866E-2</v>
      </c>
      <c r="X949">
        <v>7.7548125840373287E-3</v>
      </c>
      <c r="Y949">
        <v>2.1722903806297056E-3</v>
      </c>
    </row>
    <row r="950" spans="1:25" x14ac:dyDescent="0.25">
      <c r="A950" s="1096"/>
      <c r="B950" s="1455">
        <v>700</v>
      </c>
      <c r="C950" s="1100">
        <v>0.97798495364646787</v>
      </c>
      <c r="D950" s="1100">
        <v>1.0087245180982312</v>
      </c>
      <c r="E950" s="1100">
        <v>1.0405791294614177</v>
      </c>
      <c r="F950" s="1100">
        <v>0.99146572397213384</v>
      </c>
      <c r="G950" s="1100">
        <v>1.0251890835279074</v>
      </c>
      <c r="H950" s="1100">
        <v>0.97419705540833468</v>
      </c>
      <c r="I950" s="1100">
        <v>0.97897772262121208</v>
      </c>
      <c r="K950">
        <v>1.1426954919663144</v>
      </c>
      <c r="L950">
        <v>0</v>
      </c>
      <c r="M950">
        <v>7.305401847517044E-4</v>
      </c>
      <c r="N950">
        <v>7.5975490372691232E-2</v>
      </c>
      <c r="O950">
        <v>1.055909848253796E-2</v>
      </c>
      <c r="P950">
        <v>1.3810504882959972E-2</v>
      </c>
      <c r="Q950">
        <v>4.7738238241965588E-4</v>
      </c>
      <c r="R950">
        <v>7.2887936356858028E-4</v>
      </c>
      <c r="S950">
        <v>7.1614846660298576E-2</v>
      </c>
      <c r="T950">
        <v>0.81793274272818939</v>
      </c>
      <c r="U950">
        <v>0</v>
      </c>
      <c r="V950">
        <v>9.3736892756872706E-2</v>
      </c>
      <c r="W950">
        <v>4.873996102860001E-2</v>
      </c>
      <c r="X950">
        <v>7.8664641403121856E-3</v>
      </c>
      <c r="Y950">
        <v>1.9837693526160508E-3</v>
      </c>
    </row>
    <row r="951" spans="1:25" x14ac:dyDescent="0.25">
      <c r="A951" s="1096"/>
      <c r="B951" s="1455">
        <v>701</v>
      </c>
      <c r="C951" s="1100">
        <v>0.9990069758243395</v>
      </c>
      <c r="D951" s="1100">
        <v>0.97132915292012012</v>
      </c>
      <c r="E951" s="1100">
        <v>1.0199943980251132</v>
      </c>
      <c r="F951" s="1100">
        <v>1.0433460869889657</v>
      </c>
      <c r="G951" s="1100">
        <v>1.0027742678745939</v>
      </c>
      <c r="H951" s="1100">
        <v>0.97677049270672311</v>
      </c>
      <c r="I951" s="1100">
        <v>1.0207690657451678</v>
      </c>
      <c r="K951">
        <v>1.186436851770067</v>
      </c>
      <c r="L951">
        <v>0</v>
      </c>
      <c r="M951">
        <v>7.5988054039283182E-4</v>
      </c>
      <c r="N951">
        <v>7.4272511233703736E-2</v>
      </c>
      <c r="O951">
        <v>1.0487433299944402E-2</v>
      </c>
      <c r="P951">
        <v>1.4237775784991486E-2</v>
      </c>
      <c r="Q951">
        <v>4.6459155635594009E-4</v>
      </c>
      <c r="R951">
        <v>7.5815756779979576E-4</v>
      </c>
      <c r="S951">
        <v>7.4620951451799172E-2</v>
      </c>
      <c r="T951">
        <v>0.86213345413318565</v>
      </c>
      <c r="U951">
        <v>0</v>
      </c>
      <c r="V951">
        <v>9.2242029629953384E-2</v>
      </c>
      <c r="W951">
        <v>4.8220091974329873E-2</v>
      </c>
      <c r="X951">
        <v>7.6962807054191847E-3</v>
      </c>
      <c r="Y951">
        <v>2.0634549729759881E-3</v>
      </c>
    </row>
    <row r="952" spans="1:25" x14ac:dyDescent="0.25">
      <c r="A952" s="1096"/>
      <c r="B952" s="1455">
        <v>702</v>
      </c>
      <c r="C952" s="1100">
        <v>1.0012291389047914</v>
      </c>
      <c r="D952" s="1100">
        <v>1.0356763339643067</v>
      </c>
      <c r="E952" s="1100">
        <v>0.99342029319954184</v>
      </c>
      <c r="F952" s="1100">
        <v>1.040769911668298</v>
      </c>
      <c r="G952" s="1100">
        <v>1.0158645105512776</v>
      </c>
      <c r="H952" s="1100">
        <v>1.0243434966701841</v>
      </c>
      <c r="I952" s="1100">
        <v>1.0463178639005357</v>
      </c>
      <c r="K952">
        <v>1.1869931216049392</v>
      </c>
      <c r="L952">
        <v>0</v>
      </c>
      <c r="M952">
        <v>8.1894476791585509E-4</v>
      </c>
      <c r="N952">
        <v>7.3880969011285422E-2</v>
      </c>
      <c r="O952">
        <v>1.0190509849156665E-2</v>
      </c>
      <c r="P952">
        <v>1.3978360664288073E-2</v>
      </c>
      <c r="Q952">
        <v>4.3958214595270998E-4</v>
      </c>
      <c r="R952">
        <v>8.1717411036423429E-4</v>
      </c>
      <c r="S952">
        <v>7.5802680067950851E-2</v>
      </c>
      <c r="T952">
        <v>0.86182976849029369</v>
      </c>
      <c r="U952">
        <v>0</v>
      </c>
      <c r="V952">
        <v>9.2742609968638465E-2</v>
      </c>
      <c r="W952">
        <v>4.8725442791922126E-2</v>
      </c>
      <c r="X952">
        <v>7.1808907259635797E-3</v>
      </c>
      <c r="Y952">
        <v>2.2240785470383625E-3</v>
      </c>
    </row>
    <row r="953" spans="1:25" x14ac:dyDescent="0.25">
      <c r="A953" s="1096"/>
      <c r="B953" s="1455">
        <v>703</v>
      </c>
      <c r="C953" s="1100">
        <v>0.96408820568961728</v>
      </c>
      <c r="D953" s="1100">
        <v>0.96834418759807128</v>
      </c>
      <c r="E953" s="1100">
        <v>1.0257440973536831</v>
      </c>
      <c r="F953" s="1100">
        <v>0.99565293351991091</v>
      </c>
      <c r="G953" s="1100">
        <v>0.99357584185151993</v>
      </c>
      <c r="H953" s="1100">
        <v>0.98408003022431378</v>
      </c>
      <c r="I953" s="1100">
        <v>1.0120982889001646</v>
      </c>
      <c r="K953">
        <v>1.1557894812654759</v>
      </c>
      <c r="L953">
        <v>0</v>
      </c>
      <c r="M953">
        <v>7.8482321778927059E-4</v>
      </c>
      <c r="N953">
        <v>7.8053695912048263E-2</v>
      </c>
      <c r="O953">
        <v>1.0882653965971677E-2</v>
      </c>
      <c r="P953">
        <v>1.3786798883716683E-2</v>
      </c>
      <c r="Q953">
        <v>4.8485898325722451E-4</v>
      </c>
      <c r="R953">
        <v>7.8305690748894214E-4</v>
      </c>
      <c r="S953">
        <v>7.7112144753811687E-2</v>
      </c>
      <c r="T953">
        <v>0.82234908339728163</v>
      </c>
      <c r="U953">
        <v>0</v>
      </c>
      <c r="V953">
        <v>9.2748762309216512E-2</v>
      </c>
      <c r="W953">
        <v>5.0505162622109002E-2</v>
      </c>
      <c r="X953">
        <v>7.7368639808184161E-3</v>
      </c>
      <c r="Y953">
        <v>2.1312227675447221E-3</v>
      </c>
    </row>
    <row r="954" spans="1:25" x14ac:dyDescent="0.25">
      <c r="A954" s="1096"/>
      <c r="B954" s="1455">
        <v>704</v>
      </c>
      <c r="C954" s="1100">
        <v>0.99058403763778324</v>
      </c>
      <c r="D954" s="1100">
        <v>0.98933944376731053</v>
      </c>
      <c r="E954" s="1100">
        <v>1.0351762832746407</v>
      </c>
      <c r="F954" s="1100">
        <v>1.0180291298517534</v>
      </c>
      <c r="G954" s="1100">
        <v>1.0421424221080384</v>
      </c>
      <c r="H954" s="1100">
        <v>1.0030224754644577</v>
      </c>
      <c r="I954" s="1100">
        <v>0.97597801468139145</v>
      </c>
      <c r="K954">
        <v>1.168987090823389</v>
      </c>
      <c r="L954">
        <v>0</v>
      </c>
      <c r="M954">
        <v>7.5685875862004245E-4</v>
      </c>
      <c r="N954">
        <v>7.7446766348299528E-2</v>
      </c>
      <c r="O954">
        <v>1.0504225892538212E-2</v>
      </c>
      <c r="P954">
        <v>1.4084168919428177E-2</v>
      </c>
      <c r="Q954">
        <v>4.7238238884394926E-4</v>
      </c>
      <c r="R954">
        <v>7.5518755351240609E-4</v>
      </c>
      <c r="S954">
        <v>7.2350121108127427E-2</v>
      </c>
      <c r="T954">
        <v>0.84020423337069783</v>
      </c>
      <c r="U954">
        <v>0</v>
      </c>
      <c r="V954">
        <v>9.4137903460978375E-2</v>
      </c>
      <c r="W954">
        <v>4.9838918921257497E-2</v>
      </c>
      <c r="X954">
        <v>7.8946700451742596E-3</v>
      </c>
      <c r="Y954">
        <v>2.0553715731506605E-3</v>
      </c>
    </row>
    <row r="955" spans="1:25" x14ac:dyDescent="0.25">
      <c r="A955" s="1096"/>
      <c r="B955" s="1455">
        <v>705</v>
      </c>
      <c r="C955" s="1100">
        <v>0.98736294974788597</v>
      </c>
      <c r="D955" s="1100">
        <v>0.99344908667427312</v>
      </c>
      <c r="E955" s="1100">
        <v>1.0315062647103084</v>
      </c>
      <c r="F955" s="1100">
        <v>0.99808131303499137</v>
      </c>
      <c r="G955" s="1100">
        <v>0.99848947639769658</v>
      </c>
      <c r="H955" s="1100">
        <v>0.982573257454187</v>
      </c>
      <c r="I955" s="1100">
        <v>0.95537707629035484</v>
      </c>
      <c r="K955">
        <v>1.1454862375263999</v>
      </c>
      <c r="L955">
        <v>0</v>
      </c>
      <c r="M955">
        <v>7.4831838653270503E-4</v>
      </c>
      <c r="N955">
        <v>7.5727078887025553E-2</v>
      </c>
      <c r="O955">
        <v>1.0519808393860821E-2</v>
      </c>
      <c r="P955">
        <v>1.3763925539064593E-2</v>
      </c>
      <c r="Q955">
        <v>4.7137279238676516E-4</v>
      </c>
      <c r="R955">
        <v>7.4663165076554159E-4</v>
      </c>
      <c r="S955">
        <v>7.0091211471885073E-2</v>
      </c>
      <c r="T955">
        <v>0.8239793624954842</v>
      </c>
      <c r="U955">
        <v>0</v>
      </c>
      <c r="V955">
        <v>9.2353570217761569E-2</v>
      </c>
      <c r="W955">
        <v>4.8835912774658229E-2</v>
      </c>
      <c r="X955">
        <v>7.7135964637128117E-3</v>
      </c>
      <c r="Y955">
        <v>2.0320852263262775E-3</v>
      </c>
    </row>
    <row r="956" spans="1:25" x14ac:dyDescent="0.25">
      <c r="A956" s="1096"/>
      <c r="B956" s="1455">
        <v>706</v>
      </c>
      <c r="C956" s="1100">
        <v>1.0174732228825019</v>
      </c>
      <c r="D956" s="1100">
        <v>0.99343955897834901</v>
      </c>
      <c r="E956" s="1100">
        <v>0.98741068512402275</v>
      </c>
      <c r="F956" s="1100">
        <v>1.0286037137588573</v>
      </c>
      <c r="G956" s="1100">
        <v>0.97772399606151228</v>
      </c>
      <c r="H956" s="1100">
        <v>1.0302510335283777</v>
      </c>
      <c r="I956" s="1100">
        <v>1.0266303350370112</v>
      </c>
      <c r="K956">
        <v>1.1743988037659376</v>
      </c>
      <c r="L956">
        <v>0</v>
      </c>
      <c r="M956">
        <v>8.3445188579675989E-4</v>
      </c>
      <c r="N956">
        <v>7.3925440641164464E-2</v>
      </c>
      <c r="O956">
        <v>1.0194290517388477E-2</v>
      </c>
      <c r="P956">
        <v>1.374649934424735E-2</v>
      </c>
      <c r="Q956">
        <v>4.3708279055397654E-4</v>
      </c>
      <c r="R956">
        <v>8.3265804531941999E-4</v>
      </c>
      <c r="S956">
        <v>7.5000044301325675E-2</v>
      </c>
      <c r="T956">
        <v>0.85216647501277287</v>
      </c>
      <c r="U956">
        <v>0</v>
      </c>
      <c r="V956">
        <v>9.0715784333756558E-2</v>
      </c>
      <c r="W956">
        <v>4.8930554122583569E-2</v>
      </c>
      <c r="X956">
        <v>7.0182058289128156E-3</v>
      </c>
      <c r="Y956">
        <v>2.266220713708592E-3</v>
      </c>
    </row>
    <row r="957" spans="1:25" x14ac:dyDescent="0.25">
      <c r="A957" s="1096"/>
      <c r="B957" s="1455">
        <v>707</v>
      </c>
      <c r="C957" s="1100">
        <v>0.9639787192235505</v>
      </c>
      <c r="D957" s="1100">
        <v>1.0122220744256976</v>
      </c>
      <c r="E957" s="1100">
        <v>0.98965001484465798</v>
      </c>
      <c r="F957" s="1100">
        <v>1.0253021091933741</v>
      </c>
      <c r="G957" s="1100">
        <v>1.0372144818614162</v>
      </c>
      <c r="H957" s="1100">
        <v>0.98457197833720245</v>
      </c>
      <c r="I957" s="1100">
        <v>0.96780683833851788</v>
      </c>
      <c r="K957">
        <v>1.1734146844655231</v>
      </c>
      <c r="L957">
        <v>0</v>
      </c>
      <c r="M957">
        <v>8.3156041696577458E-4</v>
      </c>
      <c r="N957">
        <v>7.4162389628666822E-2</v>
      </c>
      <c r="O957">
        <v>1.0680449182578182E-2</v>
      </c>
      <c r="P957">
        <v>1.3743627868305417E-2</v>
      </c>
      <c r="Q957">
        <v>4.5896547730301111E-4</v>
      </c>
      <c r="R957">
        <v>8.2968985579513343E-4</v>
      </c>
      <c r="S957">
        <v>7.2061140020376488E-2</v>
      </c>
      <c r="T957">
        <v>0.84927833936132735</v>
      </c>
      <c r="U957">
        <v>0</v>
      </c>
      <c r="V957">
        <v>9.4611371810216435E-2</v>
      </c>
      <c r="W957">
        <v>4.9021505584971634E-2</v>
      </c>
      <c r="X957">
        <v>7.1406238126610292E-3</v>
      </c>
      <c r="Y957">
        <v>2.2581422802868973E-3</v>
      </c>
    </row>
    <row r="958" spans="1:25" x14ac:dyDescent="0.25">
      <c r="A958" s="1096"/>
      <c r="B958" s="1455">
        <v>708</v>
      </c>
      <c r="C958" s="1100">
        <v>1.0145066814023398</v>
      </c>
      <c r="D958" s="1100">
        <v>0.98425505237079514</v>
      </c>
      <c r="E958" s="1100">
        <v>1.0097075933672621</v>
      </c>
      <c r="F958" s="1100">
        <v>1.003709852897404</v>
      </c>
      <c r="G958" s="1100">
        <v>0.97849447271955003</v>
      </c>
      <c r="H958" s="1100">
        <v>1.0126522045693414</v>
      </c>
      <c r="I958" s="1100">
        <v>1.025333151838598</v>
      </c>
      <c r="K958">
        <v>1.153018007835281</v>
      </c>
      <c r="L958">
        <v>0</v>
      </c>
      <c r="M958">
        <v>7.8834866968737253E-4</v>
      </c>
      <c r="N958">
        <v>7.4705661100353635E-2</v>
      </c>
      <c r="O958">
        <v>1.0269393294486484E-2</v>
      </c>
      <c r="P958">
        <v>1.3672588273181916E-2</v>
      </c>
      <c r="Q958">
        <v>4.5029064397506213E-4</v>
      </c>
      <c r="R958">
        <v>7.8662448571182545E-4</v>
      </c>
      <c r="S958">
        <v>7.4781037713521917E-2</v>
      </c>
      <c r="T958">
        <v>0.83005999746145021</v>
      </c>
      <c r="U958">
        <v>0</v>
      </c>
      <c r="V958">
        <v>9.0823427369633794E-2</v>
      </c>
      <c r="W958">
        <v>4.8795276534848143E-2</v>
      </c>
      <c r="X958">
        <v>7.321127088389859E-3</v>
      </c>
      <c r="Y958">
        <v>2.1409325394155655E-3</v>
      </c>
    </row>
    <row r="959" spans="1:25" x14ac:dyDescent="0.25">
      <c r="A959" s="1096"/>
      <c r="B959" s="1455">
        <v>709</v>
      </c>
      <c r="C959" s="1100">
        <v>1.0078833798745457</v>
      </c>
      <c r="D959" s="1100">
        <v>0.99550066694131178</v>
      </c>
      <c r="E959" s="1100">
        <v>0.9798020541674044</v>
      </c>
      <c r="F959" s="1100">
        <v>0.99589411761820423</v>
      </c>
      <c r="G959" s="1100">
        <v>0.99934808564858035</v>
      </c>
      <c r="H959" s="1100">
        <v>1.0486728461590116</v>
      </c>
      <c r="I959" s="1100">
        <v>1.0118747733198172</v>
      </c>
      <c r="K959">
        <v>1.1513911315108951</v>
      </c>
      <c r="L959">
        <v>0</v>
      </c>
      <c r="M959">
        <v>8.7033733027061728E-4</v>
      </c>
      <c r="N959">
        <v>7.535314266966292E-2</v>
      </c>
      <c r="O959">
        <v>1.0280290474977452E-2</v>
      </c>
      <c r="P959">
        <v>1.3329870772827525E-2</v>
      </c>
      <c r="Q959">
        <v>4.3738133089756139E-4</v>
      </c>
      <c r="R959">
        <v>8.6849921320700349E-4</v>
      </c>
      <c r="S959">
        <v>7.529077558859755E-2</v>
      </c>
      <c r="T959">
        <v>0.82557326303433587</v>
      </c>
      <c r="U959">
        <v>0</v>
      </c>
      <c r="V959">
        <v>9.1871153814949189E-2</v>
      </c>
      <c r="W959">
        <v>5.0104549069082731E-2</v>
      </c>
      <c r="X959">
        <v>6.7887743149676206E-3</v>
      </c>
      <c r="Y959">
        <v>2.3637685576607744E-3</v>
      </c>
    </row>
    <row r="960" spans="1:25" x14ac:dyDescent="0.25">
      <c r="A960" s="1096"/>
      <c r="B960" s="1455">
        <v>710</v>
      </c>
      <c r="C960" s="1100">
        <v>0.99156556792497674</v>
      </c>
      <c r="D960" s="1100">
        <v>0.96909866970614567</v>
      </c>
      <c r="E960" s="1100">
        <v>0.99566070592233535</v>
      </c>
      <c r="F960" s="1100">
        <v>0.99019754161137796</v>
      </c>
      <c r="G960" s="1100">
        <v>0.99998792753972998</v>
      </c>
      <c r="H960" s="1100">
        <v>1.0056685567840435</v>
      </c>
      <c r="I960" s="1100">
        <v>0.99006554609635145</v>
      </c>
      <c r="K960">
        <v>1.1450602332189137</v>
      </c>
      <c r="L960">
        <v>0</v>
      </c>
      <c r="M960">
        <v>8.2985411720408887E-4</v>
      </c>
      <c r="N960">
        <v>7.5370789903527316E-2</v>
      </c>
      <c r="O960">
        <v>1.0567715877181015E-2</v>
      </c>
      <c r="P960">
        <v>1.3402700477928719E-2</v>
      </c>
      <c r="Q960">
        <v>4.568843271625816E-4</v>
      </c>
      <c r="R960">
        <v>8.2802655377373752E-4</v>
      </c>
      <c r="S960">
        <v>7.4166072164135635E-2</v>
      </c>
      <c r="T960">
        <v>0.81980506959717725</v>
      </c>
      <c r="U960">
        <v>0</v>
      </c>
      <c r="V960">
        <v>9.2305305504107343E-2</v>
      </c>
      <c r="W960">
        <v>4.9641566946492868E-2</v>
      </c>
      <c r="X960">
        <v>7.0923406641375435E-3</v>
      </c>
      <c r="Y960">
        <v>2.2536153204920219E-3</v>
      </c>
    </row>
    <row r="961" spans="1:25" x14ac:dyDescent="0.25">
      <c r="A961" s="1096"/>
      <c r="B961" s="1455">
        <v>711</v>
      </c>
      <c r="C961" s="1100">
        <v>0.96859733657426539</v>
      </c>
      <c r="D961" s="1100">
        <v>0.97504484350622167</v>
      </c>
      <c r="E961" s="1100">
        <v>1.0020747368095455</v>
      </c>
      <c r="F961" s="1100">
        <v>1.0010192202165189</v>
      </c>
      <c r="G961" s="1100">
        <v>0.99763347990238938</v>
      </c>
      <c r="H961" s="1100">
        <v>1.0156043524125842</v>
      </c>
      <c r="I961" s="1100">
        <v>0.98804660825480994</v>
      </c>
      <c r="K961">
        <v>1.1611015597199348</v>
      </c>
      <c r="L961">
        <v>0</v>
      </c>
      <c r="M961">
        <v>8.4451980734395293E-4</v>
      </c>
      <c r="N961">
        <v>7.8205457885994381E-2</v>
      </c>
      <c r="O961">
        <v>1.0794057842933084E-2</v>
      </c>
      <c r="P961">
        <v>1.3614841696263135E-2</v>
      </c>
      <c r="Q961">
        <v>4.6969034844928883E-4</v>
      </c>
      <c r="R961">
        <v>8.4267814136929564E-4</v>
      </c>
      <c r="S961">
        <v>7.5956555812174406E-2</v>
      </c>
      <c r="T961">
        <v>0.82833925406103914</v>
      </c>
      <c r="U961">
        <v>0</v>
      </c>
      <c r="V961">
        <v>9.2798314708981339E-2</v>
      </c>
      <c r="W961">
        <v>5.1312408474735165E-2</v>
      </c>
      <c r="X961">
        <v>7.3193284433054791E-3</v>
      </c>
      <c r="Y961">
        <v>2.2934921120325775E-3</v>
      </c>
    </row>
    <row r="962" spans="1:25" x14ac:dyDescent="0.25">
      <c r="A962" s="1096"/>
      <c r="B962" s="1455">
        <v>712</v>
      </c>
      <c r="C962" s="1100">
        <v>1.0323424025983672</v>
      </c>
      <c r="D962" s="1100">
        <v>1.0204062984353355</v>
      </c>
      <c r="E962" s="1100">
        <v>0.99672783200670678</v>
      </c>
      <c r="F962" s="1100">
        <v>0.97995029463290584</v>
      </c>
      <c r="G962" s="1100">
        <v>1.0018678644460686</v>
      </c>
      <c r="H962" s="1100">
        <v>1.0003639774652939</v>
      </c>
      <c r="I962" s="1100">
        <v>0.97520456967942515</v>
      </c>
      <c r="K962">
        <v>1.1204425874092907</v>
      </c>
      <c r="L962">
        <v>0</v>
      </c>
      <c r="M962">
        <v>7.7496088439603437E-4</v>
      </c>
      <c r="N962">
        <v>7.0611685446296271E-2</v>
      </c>
      <c r="O962">
        <v>9.9433195422531807E-3</v>
      </c>
      <c r="P962">
        <v>1.3202646495593282E-2</v>
      </c>
      <c r="Q962">
        <v>4.3035153697815214E-4</v>
      </c>
      <c r="R962">
        <v>7.7324516083352964E-4</v>
      </c>
      <c r="S962">
        <v>6.8133149378276622E-2</v>
      </c>
      <c r="T962">
        <v>0.81125180020145737</v>
      </c>
      <c r="U962">
        <v>0</v>
      </c>
      <c r="V962">
        <v>9.1398660333179019E-2</v>
      </c>
      <c r="W962">
        <v>4.6477495346369135E-2</v>
      </c>
      <c r="X962">
        <v>6.8906764248593778E-3</v>
      </c>
      <c r="Y962">
        <v>2.1045184275901054E-3</v>
      </c>
    </row>
    <row r="963" spans="1:25" x14ac:dyDescent="0.25">
      <c r="A963" s="1096"/>
      <c r="B963" s="1455">
        <v>713</v>
      </c>
      <c r="C963" s="1100">
        <v>1.0355158351839528</v>
      </c>
      <c r="D963" s="1100">
        <v>0.9722469196397856</v>
      </c>
      <c r="E963" s="1100">
        <v>1.014374031569619</v>
      </c>
      <c r="F963" s="1100">
        <v>0.98583248512675314</v>
      </c>
      <c r="G963" s="1100">
        <v>0.98048746035530876</v>
      </c>
      <c r="H963" s="1100">
        <v>0.9925207976047139</v>
      </c>
      <c r="I963" s="1100">
        <v>1.0155464132753165</v>
      </c>
      <c r="K963">
        <v>1.1305022942475913</v>
      </c>
      <c r="L963">
        <v>0</v>
      </c>
      <c r="M963">
        <v>7.5338442734642296E-4</v>
      </c>
      <c r="N963">
        <v>7.2401891977120311E-2</v>
      </c>
      <c r="O963">
        <v>1.0112058455459757E-2</v>
      </c>
      <c r="P963">
        <v>1.3470920158831782E-2</v>
      </c>
      <c r="Q963">
        <v>4.4546265919817325E-4</v>
      </c>
      <c r="R963">
        <v>7.5170329230367318E-4</v>
      </c>
      <c r="S963">
        <v>7.2216048210140812E-2</v>
      </c>
      <c r="T963">
        <v>0.81497278891177016</v>
      </c>
      <c r="U963">
        <v>0</v>
      </c>
      <c r="V963">
        <v>9.0413659389146181E-2</v>
      </c>
      <c r="W963">
        <v>4.7160788934598068E-2</v>
      </c>
      <c r="X963">
        <v>7.2644681236419036E-3</v>
      </c>
      <c r="Y963">
        <v>2.0458885627268881E-3</v>
      </c>
    </row>
    <row r="964" spans="1:25" x14ac:dyDescent="0.25">
      <c r="A964" s="1096"/>
      <c r="B964" s="1455">
        <v>714</v>
      </c>
      <c r="C964" s="1100">
        <v>0.99252546609187819</v>
      </c>
      <c r="D964" s="1100">
        <v>0.97661537747223859</v>
      </c>
      <c r="E964" s="1100">
        <v>1.0162737340414518</v>
      </c>
      <c r="F964" s="1100">
        <v>1.0017225685166877</v>
      </c>
      <c r="G964" s="1100">
        <v>0.9797125562499619</v>
      </c>
      <c r="H964" s="1100">
        <v>1.0121596270127344</v>
      </c>
      <c r="I964" s="1100">
        <v>0.9889607829767193</v>
      </c>
      <c r="K964">
        <v>1.1549319773831448</v>
      </c>
      <c r="L964">
        <v>0</v>
      </c>
      <c r="M964">
        <v>7.9697909592712157E-4</v>
      </c>
      <c r="N964">
        <v>7.7035134210321418E-2</v>
      </c>
      <c r="O964">
        <v>1.0531785496538951E-2</v>
      </c>
      <c r="P964">
        <v>1.3707920950752158E-2</v>
      </c>
      <c r="Q964">
        <v>4.6483203736351217E-4</v>
      </c>
      <c r="R964">
        <v>7.952351882158184E-4</v>
      </c>
      <c r="S964">
        <v>7.4008712458155101E-2</v>
      </c>
      <c r="T964">
        <v>0.82798383915030582</v>
      </c>
      <c r="U964">
        <v>0</v>
      </c>
      <c r="V964">
        <v>9.1417746755423329E-2</v>
      </c>
      <c r="W964">
        <v>5.0122823163126738E-2</v>
      </c>
      <c r="X964">
        <v>7.4965590357548182E-3</v>
      </c>
      <c r="Y964">
        <v>2.1643680331141163E-3</v>
      </c>
    </row>
    <row r="965" spans="1:25" x14ac:dyDescent="0.25">
      <c r="A965" s="1096"/>
      <c r="B965" s="1455">
        <v>715</v>
      </c>
      <c r="C965" s="1100">
        <v>1.0225389969393988</v>
      </c>
      <c r="D965" s="1100">
        <v>0.98813353960368233</v>
      </c>
      <c r="E965" s="1100">
        <v>1.0122108128204275</v>
      </c>
      <c r="F965" s="1100">
        <v>0.99240185978684026</v>
      </c>
      <c r="G965" s="1100">
        <v>0.97733967291073731</v>
      </c>
      <c r="H965" s="1100">
        <v>1.0222496461523343</v>
      </c>
      <c r="I965" s="1100">
        <v>0.99218439284165416</v>
      </c>
      <c r="K965">
        <v>1.1404436899159609</v>
      </c>
      <c r="L965">
        <v>0</v>
      </c>
      <c r="M965">
        <v>7.8423816551311833E-4</v>
      </c>
      <c r="N965">
        <v>7.4881392247751311E-2</v>
      </c>
      <c r="O965">
        <v>1.0173515491089974E-2</v>
      </c>
      <c r="P965">
        <v>1.3525893190973496E-2</v>
      </c>
      <c r="Q965">
        <v>4.4720366503926608E-4</v>
      </c>
      <c r="R965">
        <v>7.8253907473509426E-4</v>
      </c>
      <c r="S965">
        <v>7.2033927443540022E-2</v>
      </c>
      <c r="T965">
        <v>0.82054479408975289</v>
      </c>
      <c r="U965">
        <v>0</v>
      </c>
      <c r="V965">
        <v>9.0582550347557939E-2</v>
      </c>
      <c r="W965">
        <v>4.883797044316434E-2</v>
      </c>
      <c r="X965">
        <v>7.2883286903761106E-3</v>
      </c>
      <c r="Y965">
        <v>2.1298133974922699E-3</v>
      </c>
    </row>
    <row r="966" spans="1:25" x14ac:dyDescent="0.25">
      <c r="A966" s="1096"/>
      <c r="B966" s="1455">
        <v>716</v>
      </c>
      <c r="C966" s="1100">
        <v>0.99958110127548205</v>
      </c>
      <c r="D966" s="1100">
        <v>0.97765276022781045</v>
      </c>
      <c r="E966" s="1100">
        <v>0.97128726112830766</v>
      </c>
      <c r="F966" s="1100">
        <v>0.99605145430148334</v>
      </c>
      <c r="G966" s="1100">
        <v>1.0105569592335373</v>
      </c>
      <c r="H966" s="1100">
        <v>0.98942609442598006</v>
      </c>
      <c r="I966" s="1100">
        <v>0.95692927130775873</v>
      </c>
      <c r="K966">
        <v>1.1414373167094594</v>
      </c>
      <c r="L966">
        <v>0</v>
      </c>
      <c r="M966">
        <v>8.4880323533028388E-4</v>
      </c>
      <c r="N966">
        <v>7.1609955123021152E-2</v>
      </c>
      <c r="O966">
        <v>1.0438157048073354E-2</v>
      </c>
      <c r="P966">
        <v>1.3192903527936535E-2</v>
      </c>
      <c r="Q966">
        <v>4.4026156851868271E-4</v>
      </c>
      <c r="R966">
        <v>8.469032543905996E-4</v>
      </c>
      <c r="S966">
        <v>7.0122898294550387E-2</v>
      </c>
      <c r="T966">
        <v>0.82627189693268588</v>
      </c>
      <c r="U966">
        <v>0</v>
      </c>
      <c r="V966">
        <v>9.2553634726630224E-2</v>
      </c>
      <c r="W966">
        <v>4.7861906391258542E-2</v>
      </c>
      <c r="X966">
        <v>6.6426116008546452E-3</v>
      </c>
      <c r="Y966">
        <v>2.3049914768684338E-3</v>
      </c>
    </row>
    <row r="967" spans="1:25" x14ac:dyDescent="0.25">
      <c r="A967" s="1096"/>
      <c r="B967" s="1455">
        <v>717</v>
      </c>
      <c r="C967" s="1100">
        <v>1.0117068901558368</v>
      </c>
      <c r="D967" s="1100">
        <v>0.97718582922081432</v>
      </c>
      <c r="E967" s="1100">
        <v>0.99700132596127933</v>
      </c>
      <c r="F967" s="1100">
        <v>1.0242053553462538</v>
      </c>
      <c r="G967" s="1100">
        <v>1.0053404605810958</v>
      </c>
      <c r="H967" s="1100">
        <v>1.0279606817011988</v>
      </c>
      <c r="I967" s="1100">
        <v>1.0000591853982799</v>
      </c>
      <c r="K967">
        <v>1.1728774540761637</v>
      </c>
      <c r="L967">
        <v>0</v>
      </c>
      <c r="M967">
        <v>8.2630318772772856E-4</v>
      </c>
      <c r="N967">
        <v>7.5356553291363815E-2</v>
      </c>
      <c r="O967">
        <v>1.0323396251274057E-2</v>
      </c>
      <c r="P967">
        <v>1.379217090958023E-2</v>
      </c>
      <c r="Q967">
        <v>4.4692449609502657E-4</v>
      </c>
      <c r="R967">
        <v>8.2452290695119443E-4</v>
      </c>
      <c r="S967">
        <v>7.4016823765590947E-2</v>
      </c>
      <c r="T967">
        <v>0.84786977658016183</v>
      </c>
      <c r="U967">
        <v>0</v>
      </c>
      <c r="V967">
        <v>9.2036797955476007E-2</v>
      </c>
      <c r="W967">
        <v>4.9592544859118244E-2</v>
      </c>
      <c r="X967">
        <v>7.2001666994613751E-3</v>
      </c>
      <c r="Y967">
        <v>2.2440795488179238E-3</v>
      </c>
    </row>
    <row r="968" spans="1:25" x14ac:dyDescent="0.25">
      <c r="A968" s="1096"/>
      <c r="B968" s="1455">
        <v>718</v>
      </c>
      <c r="C968" s="1100">
        <v>1.0173878583272697</v>
      </c>
      <c r="D968" s="1100">
        <v>0.98770491616527101</v>
      </c>
      <c r="E968" s="1100">
        <v>1.0155093759278515</v>
      </c>
      <c r="F968" s="1100">
        <v>0.95590528142354914</v>
      </c>
      <c r="G968" s="1100">
        <v>0.99812028038253398</v>
      </c>
      <c r="H968" s="1100">
        <v>1.019535913129354</v>
      </c>
      <c r="I968" s="1100">
        <v>0.99792143493338314</v>
      </c>
      <c r="K968">
        <v>1.1119940422160131</v>
      </c>
      <c r="L968">
        <v>0</v>
      </c>
      <c r="M968">
        <v>7.8088009852093931E-4</v>
      </c>
      <c r="N968">
        <v>7.5306318235883796E-2</v>
      </c>
      <c r="O968">
        <v>1.022786841269803E-2</v>
      </c>
      <c r="P968">
        <v>1.3163441077809677E-2</v>
      </c>
      <c r="Q968">
        <v>4.5107464886672487E-4</v>
      </c>
      <c r="R968">
        <v>7.7918377999932871E-4</v>
      </c>
      <c r="S968">
        <v>7.2728479623061351E-2</v>
      </c>
      <c r="T968">
        <v>0.79016109735906215</v>
      </c>
      <c r="U968">
        <v>0</v>
      </c>
      <c r="V968">
        <v>9.159407272879172E-2</v>
      </c>
      <c r="W968">
        <v>4.9019958264327895E-2</v>
      </c>
      <c r="X968">
        <v>7.2227467927378167E-3</v>
      </c>
      <c r="Y968">
        <v>2.1206813912941283E-3</v>
      </c>
    </row>
    <row r="969" spans="1:25" x14ac:dyDescent="0.25">
      <c r="A969" s="1096"/>
      <c r="B969" s="1455">
        <v>719</v>
      </c>
      <c r="C969" s="1100">
        <v>0.98882634958781856</v>
      </c>
      <c r="D969" s="1100">
        <v>1.0169950854409013</v>
      </c>
      <c r="E969" s="1100">
        <v>1.0425142982711355</v>
      </c>
      <c r="F969" s="1100">
        <v>1.0015100987023438</v>
      </c>
      <c r="G969" s="1100">
        <v>1.0044002297001837</v>
      </c>
      <c r="H969" s="1100">
        <v>0.96944143462408239</v>
      </c>
      <c r="I969" s="1100">
        <v>0.99394312627959158</v>
      </c>
      <c r="K969">
        <v>1.1472235561905395</v>
      </c>
      <c r="L969">
        <v>0</v>
      </c>
      <c r="M969">
        <v>7.1376992800124123E-4</v>
      </c>
      <c r="N969">
        <v>7.4664506466702418E-2</v>
      </c>
      <c r="O969">
        <v>1.0409914917355005E-2</v>
      </c>
      <c r="P969">
        <v>1.3925361085432761E-2</v>
      </c>
      <c r="Q969">
        <v>4.7153335344068492E-4</v>
      </c>
      <c r="R969">
        <v>7.1213927239960502E-4</v>
      </c>
      <c r="S969">
        <v>7.1419798058298012E-2</v>
      </c>
      <c r="T969">
        <v>0.82609338276602895</v>
      </c>
      <c r="U969">
        <v>0</v>
      </c>
      <c r="V969">
        <v>9.2570975274656422E-2</v>
      </c>
      <c r="W969">
        <v>4.7845644410014598E-2</v>
      </c>
      <c r="X969">
        <v>7.8858621713876736E-3</v>
      </c>
      <c r="Y969">
        <v>1.938208342823671E-3</v>
      </c>
    </row>
    <row r="970" spans="1:25" x14ac:dyDescent="0.25">
      <c r="A970" s="1096"/>
      <c r="B970" s="1455">
        <v>720</v>
      </c>
      <c r="C970" s="1100">
        <v>0.98785667952431377</v>
      </c>
      <c r="D970" s="1100">
        <v>0.98062825385494501</v>
      </c>
      <c r="E970" s="1100">
        <v>0.9821644559416115</v>
      </c>
      <c r="F970" s="1100">
        <v>1.0351745182874379</v>
      </c>
      <c r="G970" s="1100">
        <v>0.97029488338228354</v>
      </c>
      <c r="H970" s="1100">
        <v>0.96090355478794354</v>
      </c>
      <c r="I970" s="1100">
        <v>0.98366304730160636</v>
      </c>
      <c r="K970">
        <v>1.1728847296926941</v>
      </c>
      <c r="L970">
        <v>0</v>
      </c>
      <c r="M970">
        <v>8.1458565526237403E-4</v>
      </c>
      <c r="N970">
        <v>7.1018351723719217E-2</v>
      </c>
      <c r="O970">
        <v>1.0552830384150032E-2</v>
      </c>
      <c r="P970">
        <v>1.3730816862197334E-2</v>
      </c>
      <c r="Q970">
        <v>4.5005547075335198E-4</v>
      </c>
      <c r="R970">
        <v>8.1270814406490929E-4</v>
      </c>
      <c r="S970">
        <v>7.1671983646946838E-2</v>
      </c>
      <c r="T970">
        <v>0.857972400744478</v>
      </c>
      <c r="U970">
        <v>0</v>
      </c>
      <c r="V970">
        <v>9.112735526053381E-2</v>
      </c>
      <c r="W970">
        <v>4.7154956622766107E-2</v>
      </c>
      <c r="X970">
        <v>6.9959328293693768E-3</v>
      </c>
      <c r="Y970">
        <v>2.2119236589769938E-3</v>
      </c>
    </row>
    <row r="971" spans="1:25" x14ac:dyDescent="0.25">
      <c r="A971" s="1096"/>
      <c r="B971" s="1455">
        <v>721</v>
      </c>
      <c r="C971" s="1100">
        <v>1.0091367153878317</v>
      </c>
      <c r="D971" s="1100">
        <v>0.98947187825300031</v>
      </c>
      <c r="E971" s="1100">
        <v>1.0409075983637872</v>
      </c>
      <c r="F971" s="1100">
        <v>1.0089323337150995</v>
      </c>
      <c r="G971" s="1100">
        <v>1.0335429656685569</v>
      </c>
      <c r="H971" s="1100">
        <v>1.0034270261513833</v>
      </c>
      <c r="I971" s="1100">
        <v>1.0411129590534278</v>
      </c>
      <c r="K971">
        <v>1.1616624462748402</v>
      </c>
      <c r="L971">
        <v>0</v>
      </c>
      <c r="M971">
        <v>7.3437042573183979E-4</v>
      </c>
      <c r="N971">
        <v>7.6454508982519681E-2</v>
      </c>
      <c r="O971">
        <v>1.0312434134029005E-2</v>
      </c>
      <c r="P971">
        <v>1.406843039917886E-2</v>
      </c>
      <c r="Q971">
        <v>4.6638110411838788E-4</v>
      </c>
      <c r="R971">
        <v>7.3274953043310162E-4</v>
      </c>
      <c r="S971">
        <v>7.5778620669772687E-2</v>
      </c>
      <c r="T971">
        <v>0.83232072649192068</v>
      </c>
      <c r="U971">
        <v>0</v>
      </c>
      <c r="V971">
        <v>9.3311109652944105E-2</v>
      </c>
      <c r="W971">
        <v>4.90379896224028E-2</v>
      </c>
      <c r="X971">
        <v>7.9195634422316585E-3</v>
      </c>
      <c r="Y971">
        <v>1.9943026710211136E-3</v>
      </c>
    </row>
    <row r="972" spans="1:25" x14ac:dyDescent="0.25">
      <c r="A972" s="1096"/>
      <c r="B972" s="1455">
        <v>722</v>
      </c>
      <c r="C972" s="1100">
        <v>0.98929394747970334</v>
      </c>
      <c r="D972" s="1100">
        <v>0.99650384442535511</v>
      </c>
      <c r="E972" s="1100">
        <v>0.9782363706266537</v>
      </c>
      <c r="F972" s="1100">
        <v>1.0059049058521339</v>
      </c>
      <c r="G972" s="1100">
        <v>0.97873327228289153</v>
      </c>
      <c r="H972" s="1100">
        <v>0.97737091276082599</v>
      </c>
      <c r="I972" s="1100">
        <v>0.99688919299656253</v>
      </c>
      <c r="K972">
        <v>1.1503114907044798</v>
      </c>
      <c r="L972">
        <v>0</v>
      </c>
      <c r="M972">
        <v>8.2874852427306986E-4</v>
      </c>
      <c r="N972">
        <v>7.1402261383619048E-2</v>
      </c>
      <c r="O972">
        <v>1.0468727673307136E-2</v>
      </c>
      <c r="P972">
        <v>1.3384961246801172E-2</v>
      </c>
      <c r="Q972">
        <v>4.4468989734361766E-4</v>
      </c>
      <c r="R972">
        <v>8.2687055303755125E-4</v>
      </c>
      <c r="S972">
        <v>7.260264582325357E-2</v>
      </c>
      <c r="T972">
        <v>0.83397731286433785</v>
      </c>
      <c r="U972">
        <v>0</v>
      </c>
      <c r="V972">
        <v>9.1451188169976272E-2</v>
      </c>
      <c r="W972">
        <v>4.7522431634103184E-2</v>
      </c>
      <c r="X972">
        <v>6.8086809154088105E-3</v>
      </c>
      <c r="Y972">
        <v>2.2504690675636623E-3</v>
      </c>
    </row>
    <row r="973" spans="1:25" x14ac:dyDescent="0.25">
      <c r="A973" s="1096"/>
      <c r="B973" s="1455">
        <v>723</v>
      </c>
      <c r="C973" s="1100">
        <v>0.97778248746224072</v>
      </c>
      <c r="D973" s="1100">
        <v>1.0242931356032781</v>
      </c>
      <c r="E973" s="1100">
        <v>0.99542543329701294</v>
      </c>
      <c r="F973" s="1100">
        <v>0.97523982421478017</v>
      </c>
      <c r="G973" s="1100">
        <v>1.0363091389274461</v>
      </c>
      <c r="H973" s="1100">
        <v>1.0022856244792213</v>
      </c>
      <c r="I973" s="1100">
        <v>1.0101421791744967</v>
      </c>
      <c r="K973">
        <v>1.1330928944947991</v>
      </c>
      <c r="L973">
        <v>0</v>
      </c>
      <c r="M973">
        <v>8.2074238200733653E-4</v>
      </c>
      <c r="N973">
        <v>7.4489684907278225E-2</v>
      </c>
      <c r="O973">
        <v>1.0481768791348971E-2</v>
      </c>
      <c r="P973">
        <v>1.3262021446458107E-2</v>
      </c>
      <c r="Q973">
        <v>4.5306107084888702E-4</v>
      </c>
      <c r="R973">
        <v>8.1892878438885434E-4</v>
      </c>
      <c r="S973">
        <v>7.4445414939460053E-2</v>
      </c>
      <c r="T973">
        <v>0.80743648893456188</v>
      </c>
      <c r="U973">
        <v>0</v>
      </c>
      <c r="V973">
        <v>9.4210519600141207E-2</v>
      </c>
      <c r="W973">
        <v>4.9068128616665041E-2</v>
      </c>
      <c r="X973">
        <v>7.0187655943506908E-3</v>
      </c>
      <c r="Y973">
        <v>2.2288541913052409E-3</v>
      </c>
    </row>
    <row r="974" spans="1:25" x14ac:dyDescent="0.25">
      <c r="A974" s="1096"/>
      <c r="B974" s="1455">
        <v>724</v>
      </c>
      <c r="C974" s="1100">
        <v>1.034803982303083</v>
      </c>
      <c r="D974" s="1100">
        <v>0.99713150392992722</v>
      </c>
      <c r="E974" s="1100">
        <v>1.0046422248864022</v>
      </c>
      <c r="F974" s="1100">
        <v>1.0236176952229745</v>
      </c>
      <c r="G974" s="1100">
        <v>1.0183300182475725</v>
      </c>
      <c r="H974" s="1100">
        <v>1.0032594190065307</v>
      </c>
      <c r="I974" s="1100">
        <v>1.0136881948529681</v>
      </c>
      <c r="K974">
        <v>1.1630323362662223</v>
      </c>
      <c r="L974">
        <v>0</v>
      </c>
      <c r="M974">
        <v>7.6980091423236392E-4</v>
      </c>
      <c r="N974">
        <v>7.1839273133355211E-2</v>
      </c>
      <c r="O974">
        <v>1.0014149244450616E-2</v>
      </c>
      <c r="P974">
        <v>1.3824607689513928E-2</v>
      </c>
      <c r="Q974">
        <v>4.3687751697688357E-4</v>
      </c>
      <c r="R974">
        <v>7.6810153324657828E-4</v>
      </c>
      <c r="S974">
        <v>7.161942114917845E-2</v>
      </c>
      <c r="T974">
        <v>0.84686568989002886</v>
      </c>
      <c r="U974">
        <v>0</v>
      </c>
      <c r="V974">
        <v>9.2046388602354465E-2</v>
      </c>
      <c r="W974">
        <v>4.7063725041570567E-2</v>
      </c>
      <c r="X974">
        <v>7.2333842108822767E-3</v>
      </c>
      <c r="Y974">
        <v>2.0905191688948017E-3</v>
      </c>
    </row>
    <row r="975" spans="1:25" x14ac:dyDescent="0.25">
      <c r="A975" s="1096"/>
      <c r="B975" s="1455">
        <v>725</v>
      </c>
      <c r="C975" s="1100">
        <v>0.98934673053671229</v>
      </c>
      <c r="D975" s="1100">
        <v>1.0030872798527539</v>
      </c>
      <c r="E975" s="1100">
        <v>1.0185544425243105</v>
      </c>
      <c r="F975" s="1100">
        <v>1.0345036433300467</v>
      </c>
      <c r="G975" s="1100">
        <v>1.002963742010601</v>
      </c>
      <c r="H975" s="1100">
        <v>1.0123037877521706</v>
      </c>
      <c r="I975" s="1100">
        <v>0.99922422650490372</v>
      </c>
      <c r="K975">
        <v>1.1826744963953915</v>
      </c>
      <c r="L975">
        <v>0</v>
      </c>
      <c r="M975">
        <v>7.8740063751118431E-4</v>
      </c>
      <c r="N975">
        <v>7.6634883112543947E-2</v>
      </c>
      <c r="O975">
        <v>1.0453951145846529E-2</v>
      </c>
      <c r="P975">
        <v>1.4118030248417525E-2</v>
      </c>
      <c r="Q975">
        <v>4.6244556204876866E-4</v>
      </c>
      <c r="R975">
        <v>7.8567793424111462E-4</v>
      </c>
      <c r="S975">
        <v>7.4003765496055751E-2</v>
      </c>
      <c r="T975">
        <v>0.8549244931998542</v>
      </c>
      <c r="U975">
        <v>0</v>
      </c>
      <c r="V975">
        <v>9.2492192833872097E-2</v>
      </c>
      <c r="W975">
        <v>4.97957761538678E-2</v>
      </c>
      <c r="X975">
        <v>7.6523250078110701E-3</v>
      </c>
      <c r="Y975">
        <v>2.1383563383428994E-3</v>
      </c>
    </row>
    <row r="976" spans="1:25" x14ac:dyDescent="0.25">
      <c r="A976" s="1096"/>
      <c r="B976" s="1455">
        <v>726</v>
      </c>
      <c r="C976" s="1100">
        <v>0.9706880350830307</v>
      </c>
      <c r="D976" s="1100">
        <v>1.0025796914550396</v>
      </c>
      <c r="E976" s="1100">
        <v>1.0089182889200934</v>
      </c>
      <c r="F976" s="1100">
        <v>0.99507777705771383</v>
      </c>
      <c r="G976" s="1100">
        <v>1.0198739148382114</v>
      </c>
      <c r="H976" s="1100">
        <v>1.0213242499538377</v>
      </c>
      <c r="I976" s="1100">
        <v>0.98954276654130646</v>
      </c>
      <c r="K976">
        <v>1.1552632992437215</v>
      </c>
      <c r="L976">
        <v>0</v>
      </c>
      <c r="M976">
        <v>8.2623669605773613E-4</v>
      </c>
      <c r="N976">
        <v>7.8111108363591614E-2</v>
      </c>
      <c r="O976">
        <v>1.0653803155652829E-2</v>
      </c>
      <c r="P976">
        <v>1.3610860800307586E-2</v>
      </c>
      <c r="Q976">
        <v>4.6677760172878901E-4</v>
      </c>
      <c r="R976">
        <v>8.2444499143696781E-4</v>
      </c>
      <c r="S976">
        <v>7.5077000839656072E-2</v>
      </c>
      <c r="T976">
        <v>0.822973101499616</v>
      </c>
      <c r="U976">
        <v>0</v>
      </c>
      <c r="V976">
        <v>9.3695072291979847E-2</v>
      </c>
      <c r="W976">
        <v>5.1043367138345501E-2</v>
      </c>
      <c r="X976">
        <v>7.3901317689902624E-3</v>
      </c>
      <c r="Y976">
        <v>2.2438674884730407E-3</v>
      </c>
    </row>
    <row r="977" spans="1:25" x14ac:dyDescent="0.25">
      <c r="A977" s="1096"/>
      <c r="B977" s="1455">
        <v>727</v>
      </c>
      <c r="C977" s="1100">
        <v>0.98084283712242992</v>
      </c>
      <c r="D977" s="1100">
        <v>0.99590997959493888</v>
      </c>
      <c r="E977" s="1100">
        <v>1.009917476845374</v>
      </c>
      <c r="F977" s="1100">
        <v>0.96746499776701689</v>
      </c>
      <c r="G977" s="1100">
        <v>1.0038456702938197</v>
      </c>
      <c r="H977" s="1100">
        <v>1.0066856162531319</v>
      </c>
      <c r="I977" s="1100">
        <v>0.97842701406354582</v>
      </c>
      <c r="K977">
        <v>1.126094582409594</v>
      </c>
      <c r="L977">
        <v>0</v>
      </c>
      <c r="M977">
        <v>8.0644182231613877E-4</v>
      </c>
      <c r="N977">
        <v>7.6467653529987148E-2</v>
      </c>
      <c r="O977">
        <v>1.0572025134221383E-2</v>
      </c>
      <c r="P977">
        <v>1.3266551509861519E-2</v>
      </c>
      <c r="Q977">
        <v>4.6365767319027541E-4</v>
      </c>
      <c r="R977">
        <v>8.0466761340233794E-4</v>
      </c>
      <c r="S977">
        <v>7.3122633996073924E-2</v>
      </c>
      <c r="T977">
        <v>0.80007241434463749</v>
      </c>
      <c r="U977">
        <v>0</v>
      </c>
      <c r="V977">
        <v>9.2745700036480624E-2</v>
      </c>
      <c r="W977">
        <v>4.9939969908490651E-2</v>
      </c>
      <c r="X977">
        <v>7.2557105004917195E-3</v>
      </c>
      <c r="Y977">
        <v>2.1900399850736958E-3</v>
      </c>
    </row>
    <row r="978" spans="1:25" x14ac:dyDescent="0.25">
      <c r="A978" s="1096"/>
      <c r="B978" s="1455">
        <v>728</v>
      </c>
      <c r="C978" s="1100">
        <v>0.9816091332787118</v>
      </c>
      <c r="D978" s="1100">
        <v>1.0432827500177575</v>
      </c>
      <c r="E978" s="1100">
        <v>1.0011928309054294</v>
      </c>
      <c r="F978" s="1100">
        <v>1.0224054467160977</v>
      </c>
      <c r="G978" s="1100">
        <v>1.00697322207643</v>
      </c>
      <c r="H978" s="1100">
        <v>0.98127930763439286</v>
      </c>
      <c r="I978" s="1100">
        <v>0.98704378787941427</v>
      </c>
      <c r="K978">
        <v>1.1639683832119656</v>
      </c>
      <c r="L978">
        <v>0</v>
      </c>
      <c r="M978">
        <v>7.8510240462191538E-4</v>
      </c>
      <c r="N978">
        <v>7.2504226042459347E-2</v>
      </c>
      <c r="O978">
        <v>1.0366361054166575E-2</v>
      </c>
      <c r="P978">
        <v>1.3780477196230947E-2</v>
      </c>
      <c r="Q978">
        <v>4.5068030896209767E-4</v>
      </c>
      <c r="R978">
        <v>7.8333042287270565E-4</v>
      </c>
      <c r="S978">
        <v>7.0942591501532482E-2</v>
      </c>
      <c r="T978">
        <v>0.84609591463219735</v>
      </c>
      <c r="U978">
        <v>0</v>
      </c>
      <c r="V978">
        <v>9.2858297518250948E-2</v>
      </c>
      <c r="W978">
        <v>4.7596607891518691E-2</v>
      </c>
      <c r="X978">
        <v>7.2430318621400985E-3</v>
      </c>
      <c r="Y978">
        <v>2.1319671862550047E-3</v>
      </c>
    </row>
    <row r="979" spans="1:25" x14ac:dyDescent="0.25">
      <c r="A979" s="1096"/>
      <c r="B979" s="1455">
        <v>729</v>
      </c>
      <c r="C979" s="1100">
        <v>0.96702077704030687</v>
      </c>
      <c r="D979" s="1100">
        <v>0.98388141198089607</v>
      </c>
      <c r="E979" s="1100">
        <v>0.99966757431143871</v>
      </c>
      <c r="F979" s="1100">
        <v>0.97270739978285914</v>
      </c>
      <c r="G979" s="1100">
        <v>1.041025781824769</v>
      </c>
      <c r="H979" s="1100">
        <v>1.0141943437877594</v>
      </c>
      <c r="I979" s="1100">
        <v>0.98032011433769495</v>
      </c>
      <c r="K979">
        <v>1.1376831126555684</v>
      </c>
      <c r="L979">
        <v>0</v>
      </c>
      <c r="M979">
        <v>8.4589309246241252E-4</v>
      </c>
      <c r="N979">
        <v>7.7764816778546755E-2</v>
      </c>
      <c r="O979">
        <v>1.0771889123493415E-2</v>
      </c>
      <c r="P979">
        <v>1.328709992086877E-2</v>
      </c>
      <c r="Q979">
        <v>4.6759347704496211E-4</v>
      </c>
      <c r="R979">
        <v>8.4404586714478022E-4</v>
      </c>
      <c r="S979">
        <v>7.507549718010581E-2</v>
      </c>
      <c r="T979">
        <v>0.80506629007321073</v>
      </c>
      <c r="U979">
        <v>0</v>
      </c>
      <c r="V979">
        <v>9.4694803747649228E-2</v>
      </c>
      <c r="W979">
        <v>5.1096293949559037E-2</v>
      </c>
      <c r="X979">
        <v>7.1634610196838061E-3</v>
      </c>
      <c r="Y979">
        <v>2.2972146107227663E-3</v>
      </c>
    </row>
    <row r="980" spans="1:25" x14ac:dyDescent="0.25">
      <c r="A980" s="1096"/>
      <c r="B980" s="1455">
        <v>730</v>
      </c>
      <c r="C980" s="1100">
        <v>0.98277174890282715</v>
      </c>
      <c r="D980" s="1100">
        <v>0.98498436996902339</v>
      </c>
      <c r="E980" s="1100">
        <v>0.99104338541326809</v>
      </c>
      <c r="F980" s="1100">
        <v>0.99943205234018384</v>
      </c>
      <c r="G980" s="1100">
        <v>1.0004117496142944</v>
      </c>
      <c r="H980" s="1100">
        <v>0.96457466629956257</v>
      </c>
      <c r="I980" s="1100">
        <v>1.0035525775013692</v>
      </c>
      <c r="K980">
        <v>1.1473099132178155</v>
      </c>
      <c r="L980">
        <v>0</v>
      </c>
      <c r="M980">
        <v>8.0553092498999849E-4</v>
      </c>
      <c r="N980">
        <v>7.2140867411439352E-2</v>
      </c>
      <c r="O980">
        <v>1.0591610490823293E-2</v>
      </c>
      <c r="P980">
        <v>1.3458128818512025E-2</v>
      </c>
      <c r="Q980">
        <v>4.5578920280002982E-4</v>
      </c>
      <c r="R980">
        <v>8.0368134999886539E-4</v>
      </c>
      <c r="S980">
        <v>7.3495394658617902E-2</v>
      </c>
      <c r="T980">
        <v>0.82775702081114644</v>
      </c>
      <c r="U980">
        <v>0</v>
      </c>
      <c r="V980">
        <v>9.2546357687486466E-2</v>
      </c>
      <c r="W980">
        <v>4.7645498830572418E-2</v>
      </c>
      <c r="X980">
        <v>7.0337391801973985E-3</v>
      </c>
      <c r="Y980">
        <v>2.1873557012110868E-3</v>
      </c>
    </row>
    <row r="981" spans="1:25" x14ac:dyDescent="0.25">
      <c r="A981" s="1096"/>
      <c r="B981" s="1455">
        <v>731</v>
      </c>
      <c r="C981" s="1100">
        <v>1.0135119243312651</v>
      </c>
      <c r="D981" s="1100">
        <v>0.99691738752225612</v>
      </c>
      <c r="E981" s="1100">
        <v>0.99383994415442123</v>
      </c>
      <c r="F981" s="1100">
        <v>1.0197243999234586</v>
      </c>
      <c r="G981" s="1100">
        <v>0.99155330989472767</v>
      </c>
      <c r="H981" s="1100">
        <v>0.98913584870460658</v>
      </c>
      <c r="I981" s="1100">
        <v>1.0277990916938833</v>
      </c>
      <c r="K981">
        <v>1.1617057531975823</v>
      </c>
      <c r="L981">
        <v>0</v>
      </c>
      <c r="M981">
        <v>7.9253388400116187E-4</v>
      </c>
      <c r="N981">
        <v>7.1583543572078398E-2</v>
      </c>
      <c r="O981">
        <v>1.0221914467826285E-2</v>
      </c>
      <c r="P981">
        <v>1.3697189879417537E-2</v>
      </c>
      <c r="Q981">
        <v>4.4112352376884841E-4</v>
      </c>
      <c r="R981">
        <v>7.9075933712963078E-4</v>
      </c>
      <c r="S981">
        <v>7.3553827057225796E-2</v>
      </c>
      <c r="T981">
        <v>0.84437420399320862</v>
      </c>
      <c r="U981">
        <v>0</v>
      </c>
      <c r="V981">
        <v>9.1403239882383622E-2</v>
      </c>
      <c r="W981">
        <v>4.719842838061887E-2</v>
      </c>
      <c r="X981">
        <v>7.081870746003362E-3</v>
      </c>
      <c r="Y981">
        <v>2.1521862419214281E-3</v>
      </c>
    </row>
    <row r="982" spans="1:25" x14ac:dyDescent="0.25">
      <c r="A982" s="1096"/>
      <c r="B982" s="1455">
        <v>732</v>
      </c>
      <c r="C982" s="1100">
        <v>0.99724949659970541</v>
      </c>
      <c r="D982" s="1100">
        <v>0.99165877915123102</v>
      </c>
      <c r="E982" s="1100">
        <v>1.0208412723449303</v>
      </c>
      <c r="F982" s="1100">
        <v>0.96860866437432158</v>
      </c>
      <c r="G982" s="1100">
        <v>1.0275862196517578</v>
      </c>
      <c r="H982" s="1100">
        <v>0.99749708641991874</v>
      </c>
      <c r="I982" s="1100">
        <v>1.0013160475090357</v>
      </c>
      <c r="K982">
        <v>1.1251998375750201</v>
      </c>
      <c r="L982">
        <v>0</v>
      </c>
      <c r="M982">
        <v>7.6960075691489725E-4</v>
      </c>
      <c r="N982">
        <v>7.5418570461443957E-2</v>
      </c>
      <c r="O982">
        <v>1.0419508472529142E-2</v>
      </c>
      <c r="P982">
        <v>1.3389371145509978E-2</v>
      </c>
      <c r="Q982">
        <v>4.6197118519532325E-4</v>
      </c>
      <c r="R982">
        <v>7.6789200337128247E-4</v>
      </c>
      <c r="S982">
        <v>7.3400106473835533E-2</v>
      </c>
      <c r="T982">
        <v>0.80032296964127458</v>
      </c>
      <c r="U982">
        <v>0</v>
      </c>
      <c r="V982">
        <v>9.334636320909695E-2</v>
      </c>
      <c r="W982">
        <v>4.8939904194770158E-2</v>
      </c>
      <c r="X982">
        <v>7.412832647261211E-3</v>
      </c>
      <c r="Y982">
        <v>2.0899488976457506E-3</v>
      </c>
    </row>
    <row r="983" spans="1:25" x14ac:dyDescent="0.25">
      <c r="A983" s="1096"/>
      <c r="B983" s="1455">
        <v>733</v>
      </c>
      <c r="C983" s="1100">
        <v>1.0012968210593503</v>
      </c>
      <c r="D983" s="1100">
        <v>1.0048846698835228</v>
      </c>
      <c r="E983" s="1100">
        <v>1.0007595509374803</v>
      </c>
      <c r="F983" s="1100">
        <v>1.0087158970771433</v>
      </c>
      <c r="G983" s="1100">
        <v>1.0134979930666741</v>
      </c>
      <c r="H983" s="1100">
        <v>0.96443165673474185</v>
      </c>
      <c r="I983" s="1100">
        <v>1.0055756971681207</v>
      </c>
      <c r="K983">
        <v>1.1500471388136386</v>
      </c>
      <c r="L983">
        <v>0</v>
      </c>
      <c r="M983">
        <v>7.6857381316532396E-4</v>
      </c>
      <c r="N983">
        <v>7.088216427872121E-2</v>
      </c>
      <c r="O983">
        <v>1.0315979128967572E-2</v>
      </c>
      <c r="P983">
        <v>1.3627155642832523E-2</v>
      </c>
      <c r="Q983">
        <v>4.4829476117382987E-4</v>
      </c>
      <c r="R983">
        <v>7.6680883351013928E-4</v>
      </c>
      <c r="S983">
        <v>7.1544597016881581E-2</v>
      </c>
      <c r="T983">
        <v>0.83479599181600128</v>
      </c>
      <c r="U983">
        <v>0</v>
      </c>
      <c r="V983">
        <v>9.2640761630888135E-2</v>
      </c>
      <c r="W983">
        <v>4.6543753480710173E-2</v>
      </c>
      <c r="X983">
        <v>7.1632051707668839E-3</v>
      </c>
      <c r="Y983">
        <v>2.087000866350568E-3</v>
      </c>
    </row>
    <row r="984" spans="1:25" x14ac:dyDescent="0.25">
      <c r="A984" s="1096"/>
      <c r="B984" s="1455">
        <v>734</v>
      </c>
      <c r="C984" s="1100">
        <v>1.0044102773767554</v>
      </c>
      <c r="D984" s="1100">
        <v>1.0193318446080459</v>
      </c>
      <c r="E984" s="1100">
        <v>0.98875008639495332</v>
      </c>
      <c r="F984" s="1100">
        <v>1.0144722938368897</v>
      </c>
      <c r="G984" s="1100">
        <v>1.0285775381476254</v>
      </c>
      <c r="H984" s="1100">
        <v>0.97404334003464454</v>
      </c>
      <c r="I984" s="1100">
        <v>1.0053475068479341</v>
      </c>
      <c r="K984">
        <v>1.1546406643883411</v>
      </c>
      <c r="L984">
        <v>0</v>
      </c>
      <c r="M984">
        <v>7.8881351506183256E-4</v>
      </c>
      <c r="N984">
        <v>7.0157149440930378E-2</v>
      </c>
      <c r="O984">
        <v>1.0221568846967217E-2</v>
      </c>
      <c r="P984">
        <v>1.3582664993150225E-2</v>
      </c>
      <c r="Q984">
        <v>4.3884670615459065E-4</v>
      </c>
      <c r="R984">
        <v>7.8701993139828805E-4</v>
      </c>
      <c r="S984">
        <v>7.1158696497350321E-2</v>
      </c>
      <c r="T984">
        <v>0.84036854671693051</v>
      </c>
      <c r="U984">
        <v>0</v>
      </c>
      <c r="V984">
        <v>9.3207231437713478E-2</v>
      </c>
      <c r="W984">
        <v>4.639905622264081E-2</v>
      </c>
      <c r="X984">
        <v>6.9666882979500114E-3</v>
      </c>
      <c r="Y984">
        <v>2.142008812215481E-3</v>
      </c>
    </row>
    <row r="985" spans="1:25" x14ac:dyDescent="0.25">
      <c r="A985" s="1096"/>
      <c r="B985" s="1455">
        <v>735</v>
      </c>
      <c r="C985" s="1100">
        <v>0.98612495075006112</v>
      </c>
      <c r="D985" s="1100">
        <v>1.0171776536621513</v>
      </c>
      <c r="E985" s="1100">
        <v>0.99041245704549208</v>
      </c>
      <c r="F985" s="1100">
        <v>1.0376873928149044</v>
      </c>
      <c r="G985" s="1100">
        <v>1.031042004110194</v>
      </c>
      <c r="H985" s="1100">
        <v>0.96989385028734898</v>
      </c>
      <c r="I985" s="1100">
        <v>0.98194066352793374</v>
      </c>
      <c r="K985">
        <v>1.1764303833789653</v>
      </c>
      <c r="L985">
        <v>0</v>
      </c>
      <c r="M985">
        <v>7.9794297417214004E-4</v>
      </c>
      <c r="N985">
        <v>7.1326033785428913E-2</v>
      </c>
      <c r="O985">
        <v>1.0420464376445768E-2</v>
      </c>
      <c r="P985">
        <v>1.3859850711107628E-2</v>
      </c>
      <c r="Q985">
        <v>4.4813850230826486E-4</v>
      </c>
      <c r="R985">
        <v>7.9612086989577899E-4</v>
      </c>
      <c r="S985">
        <v>7.0702764256733372E-2</v>
      </c>
      <c r="T985">
        <v>0.85948468362886443</v>
      </c>
      <c r="U985">
        <v>0</v>
      </c>
      <c r="V985">
        <v>9.3770262131069038E-2</v>
      </c>
      <c r="W985">
        <v>4.7125139265224533E-2</v>
      </c>
      <c r="X985">
        <v>7.1280902593774407E-3</v>
      </c>
      <c r="Y985">
        <v>2.1667785666820822E-3</v>
      </c>
    </row>
    <row r="986" spans="1:25" x14ac:dyDescent="0.25">
      <c r="A986" s="1096"/>
      <c r="B986" s="1455">
        <v>736</v>
      </c>
      <c r="C986" s="1100">
        <v>0.99944588360570452</v>
      </c>
      <c r="D986" s="1100">
        <v>0.99648717903452388</v>
      </c>
      <c r="E986" s="1100">
        <v>0.98756376836959625</v>
      </c>
      <c r="F986" s="1100">
        <v>0.96262837765234321</v>
      </c>
      <c r="G986" s="1100">
        <v>1.0130473068605947</v>
      </c>
      <c r="H986" s="1100">
        <v>0.97303722048351116</v>
      </c>
      <c r="I986" s="1100">
        <v>0.97518927058526284</v>
      </c>
      <c r="K986">
        <v>1.1110066881437086</v>
      </c>
      <c r="L986">
        <v>0</v>
      </c>
      <c r="M986">
        <v>8.0109063898038506E-4</v>
      </c>
      <c r="N986">
        <v>7.0993780866376352E-2</v>
      </c>
      <c r="O986">
        <v>1.0365510691049065E-2</v>
      </c>
      <c r="P986">
        <v>1.2970482655294905E-2</v>
      </c>
      <c r="Q986">
        <v>4.4449276650903696E-4</v>
      </c>
      <c r="R986">
        <v>7.9926725648335917E-4</v>
      </c>
      <c r="S986">
        <v>7.0139760089211731E-2</v>
      </c>
      <c r="T986">
        <v>0.79749812664552078</v>
      </c>
      <c r="U986">
        <v>0</v>
      </c>
      <c r="V986">
        <v>9.2665531441261717E-2</v>
      </c>
      <c r="W986">
        <v>4.6985798418668567E-2</v>
      </c>
      <c r="X986">
        <v>6.7696859585467924E-3</v>
      </c>
      <c r="Y986">
        <v>2.1753419937674159E-3</v>
      </c>
    </row>
    <row r="987" spans="1:25" x14ac:dyDescent="0.25">
      <c r="A987" s="1096"/>
      <c r="B987" s="1455">
        <v>737</v>
      </c>
      <c r="C987" s="1100">
        <v>0.99613855029066589</v>
      </c>
      <c r="D987" s="1100">
        <v>1.0357794014397008</v>
      </c>
      <c r="E987" s="1100">
        <v>1.0093415824027392</v>
      </c>
      <c r="F987" s="1100">
        <v>0.99088556194688981</v>
      </c>
      <c r="G987" s="1100">
        <v>0.97161180920400436</v>
      </c>
      <c r="H987" s="1100">
        <v>0.981661737136999</v>
      </c>
      <c r="I987" s="1100">
        <v>0.99555349103322255</v>
      </c>
      <c r="K987">
        <v>1.1341407706865416</v>
      </c>
      <c r="L987">
        <v>0</v>
      </c>
      <c r="M987">
        <v>7.631702219817975E-4</v>
      </c>
      <c r="N987">
        <v>7.2234826135418137E-2</v>
      </c>
      <c r="O987">
        <v>1.0247338227196163E-2</v>
      </c>
      <c r="P987">
        <v>1.3471039948666759E-2</v>
      </c>
      <c r="Q987">
        <v>4.4915916605252934E-4</v>
      </c>
      <c r="R987">
        <v>7.6144841235885894E-4</v>
      </c>
      <c r="S987">
        <v>7.0797011445776131E-2</v>
      </c>
      <c r="T987">
        <v>0.81947831060612641</v>
      </c>
      <c r="U987">
        <v>0</v>
      </c>
      <c r="V987">
        <v>9.0979665580463123E-2</v>
      </c>
      <c r="W987">
        <v>4.7191596521778387E-2</v>
      </c>
      <c r="X987">
        <v>7.2211332976482752E-3</v>
      </c>
      <c r="Y987">
        <v>2.0724115670391402E-3</v>
      </c>
    </row>
    <row r="988" spans="1:25" x14ac:dyDescent="0.25">
      <c r="A988" s="1096"/>
      <c r="B988" s="1455">
        <v>738</v>
      </c>
      <c r="C988" s="1100">
        <v>1.0247818885749296</v>
      </c>
      <c r="D988" s="1100">
        <v>1.0362773809042038</v>
      </c>
      <c r="E988" s="1100">
        <v>0.97515438908317642</v>
      </c>
      <c r="F988" s="1100">
        <v>0.99108968281378751</v>
      </c>
      <c r="G988" s="1100">
        <v>0.97917088474084824</v>
      </c>
      <c r="H988" s="1100">
        <v>0.97694901079969643</v>
      </c>
      <c r="I988" s="1100">
        <v>0.98709455455449069</v>
      </c>
      <c r="K988">
        <v>1.1254292645848087</v>
      </c>
      <c r="L988">
        <v>0</v>
      </c>
      <c r="M988">
        <v>7.9231265279370666E-4</v>
      </c>
      <c r="N988">
        <v>6.7629249937836602E-2</v>
      </c>
      <c r="O988">
        <v>9.9482523916520453E-3</v>
      </c>
      <c r="P988">
        <v>1.3118897685678232E-2</v>
      </c>
      <c r="Q988">
        <v>4.2125708128686718E-4</v>
      </c>
      <c r="R988">
        <v>7.9051647107527049E-4</v>
      </c>
      <c r="S988">
        <v>6.7997070147257435E-2</v>
      </c>
      <c r="T988">
        <v>0.82189881043088941</v>
      </c>
      <c r="U988">
        <v>0</v>
      </c>
      <c r="V988">
        <v>9.06022790137819E-2</v>
      </c>
      <c r="W988">
        <v>4.5095332100358987E-2</v>
      </c>
      <c r="X988">
        <v>6.5683867372044683E-3</v>
      </c>
      <c r="Y988">
        <v>2.1515252405822326E-3</v>
      </c>
    </row>
    <row r="989" spans="1:25" x14ac:dyDescent="0.25">
      <c r="A989" s="1096"/>
      <c r="B989" s="1455">
        <v>739</v>
      </c>
      <c r="C989" s="1100">
        <v>1.0047929469009325</v>
      </c>
      <c r="D989" s="1100">
        <v>1.022018967692744</v>
      </c>
      <c r="E989" s="1100">
        <v>0.98222736560071999</v>
      </c>
      <c r="F989" s="1100">
        <v>1.0173259497857134</v>
      </c>
      <c r="G989" s="1100">
        <v>0.98505737895821677</v>
      </c>
      <c r="H989" s="1100">
        <v>1.0181023989747002</v>
      </c>
      <c r="I989" s="1100">
        <v>0.97500267357528059</v>
      </c>
      <c r="K989">
        <v>1.1595092455330034</v>
      </c>
      <c r="L989">
        <v>0</v>
      </c>
      <c r="M989">
        <v>8.3450212238691146E-4</v>
      </c>
      <c r="N989">
        <v>7.2778029301168917E-2</v>
      </c>
      <c r="O989">
        <v>1.0204820290659781E-2</v>
      </c>
      <c r="P989">
        <v>1.3520926220510722E-2</v>
      </c>
      <c r="Q989">
        <v>4.3524138536745925E-4</v>
      </c>
      <c r="R989">
        <v>8.3268676739969589E-4</v>
      </c>
      <c r="S989">
        <v>7.0607755643266351E-2</v>
      </c>
      <c r="T989">
        <v>0.8431748925048127</v>
      </c>
      <c r="U989">
        <v>0</v>
      </c>
      <c r="V989">
        <v>9.133593960469058E-2</v>
      </c>
      <c r="W989">
        <v>4.8321519684124042E-2</v>
      </c>
      <c r="X989">
        <v>6.8656373676463595E-3</v>
      </c>
      <c r="Y989">
        <v>2.2662988857428718E-3</v>
      </c>
    </row>
    <row r="990" spans="1:25" x14ac:dyDescent="0.25">
      <c r="A990" s="1096"/>
      <c r="B990" s="1455">
        <v>740</v>
      </c>
      <c r="C990" s="1100">
        <v>0.99218193491027706</v>
      </c>
      <c r="D990" s="1100">
        <v>0.98213556935614899</v>
      </c>
      <c r="E990" s="1100">
        <v>1.02241168169665</v>
      </c>
      <c r="F990" s="1100">
        <v>0.96771816957836898</v>
      </c>
      <c r="G990" s="1100">
        <v>1.0284292604965983</v>
      </c>
      <c r="H990" s="1100">
        <v>0.98559514776978563</v>
      </c>
      <c r="I990" s="1100">
        <v>1.0115493493782559</v>
      </c>
      <c r="K990">
        <v>1.1254384354611786</v>
      </c>
      <c r="L990">
        <v>0</v>
      </c>
      <c r="M990">
        <v>7.6475415333670973E-4</v>
      </c>
      <c r="N990">
        <v>7.5297445998102897E-2</v>
      </c>
      <c r="O990">
        <v>1.0513751221726689E-2</v>
      </c>
      <c r="P990">
        <v>1.3409399110570222E-2</v>
      </c>
      <c r="Q990">
        <v>4.6687731415238123E-4</v>
      </c>
      <c r="R990">
        <v>7.6303565599195153E-4</v>
      </c>
      <c r="S990">
        <v>7.4403920780821142E-2</v>
      </c>
      <c r="T990">
        <v>0.79948764185365273</v>
      </c>
      <c r="U990">
        <v>0</v>
      </c>
      <c r="V990">
        <v>9.3509603129660515E-2</v>
      </c>
      <c r="W990">
        <v>4.8816490742718092E-2</v>
      </c>
      <c r="X990">
        <v>7.4582922861445465E-3</v>
      </c>
      <c r="Y990">
        <v>2.0767315209736957E-3</v>
      </c>
    </row>
    <row r="991" spans="1:25" x14ac:dyDescent="0.25">
      <c r="A991" s="1096"/>
      <c r="B991" s="1455">
        <v>741</v>
      </c>
      <c r="C991" s="1100">
        <v>1.0146598227470971</v>
      </c>
      <c r="D991" s="1100">
        <v>1.0065660785396808</v>
      </c>
      <c r="E991" s="1100">
        <v>0.99097678636558073</v>
      </c>
      <c r="F991" s="1100">
        <v>0.98252497492859336</v>
      </c>
      <c r="G991" s="1100">
        <v>0.98755348559692335</v>
      </c>
      <c r="H991" s="1100">
        <v>1.0058709592353685</v>
      </c>
      <c r="I991" s="1100">
        <v>1.0238739848196723</v>
      </c>
      <c r="K991">
        <v>1.1313520583796974</v>
      </c>
      <c r="L991">
        <v>0</v>
      </c>
      <c r="M991">
        <v>8.0670652087459598E-4</v>
      </c>
      <c r="N991">
        <v>7.2238430071502283E-2</v>
      </c>
      <c r="O991">
        <v>1.0170167516076974E-2</v>
      </c>
      <c r="P991">
        <v>1.3249940124293359E-2</v>
      </c>
      <c r="Q991">
        <v>4.3762378664041009E-4</v>
      </c>
      <c r="R991">
        <v>8.0493029220465515E-4</v>
      </c>
      <c r="S991">
        <v>7.3510363181360561E-2</v>
      </c>
      <c r="T991">
        <v>0.8137584670357465</v>
      </c>
      <c r="U991">
        <v>0</v>
      </c>
      <c r="V991">
        <v>9.120414076765139E-2</v>
      </c>
      <c r="W991">
        <v>4.7711836169802756E-2</v>
      </c>
      <c r="X991">
        <v>6.8821110451101845E-3</v>
      </c>
      <c r="Y991">
        <v>2.1907549101815595E-3</v>
      </c>
    </row>
    <row r="992" spans="1:25" x14ac:dyDescent="0.25">
      <c r="A992" s="1096"/>
      <c r="B992" s="1455">
        <v>742</v>
      </c>
      <c r="C992" s="1100">
        <v>1.0126016933697648</v>
      </c>
      <c r="D992" s="1100">
        <v>1.0074008936516154</v>
      </c>
      <c r="E992" s="1100">
        <v>1.0002026781033111</v>
      </c>
      <c r="F992" s="1100">
        <v>1.0133568080406437</v>
      </c>
      <c r="G992" s="1100">
        <v>1.0238941688121141</v>
      </c>
      <c r="H992" s="1100">
        <v>1.0118739460875745</v>
      </c>
      <c r="I992" s="1100">
        <v>0.99257575136232645</v>
      </c>
      <c r="K992">
        <v>1.1584220635985503</v>
      </c>
      <c r="L992">
        <v>0</v>
      </c>
      <c r="M992">
        <v>7.9750237490125941E-4</v>
      </c>
      <c r="N992">
        <v>7.3434406884700487E-2</v>
      </c>
      <c r="O992">
        <v>1.0190430925049551E-2</v>
      </c>
      <c r="P992">
        <v>1.3677779103602551E-2</v>
      </c>
      <c r="Q992">
        <v>4.4259114810121721E-4</v>
      </c>
      <c r="R992">
        <v>7.9575682950020442E-4</v>
      </c>
      <c r="S992">
        <v>7.1627061931005348E-2</v>
      </c>
      <c r="T992">
        <v>0.83867408147477607</v>
      </c>
      <c r="U992">
        <v>0</v>
      </c>
      <c r="V992">
        <v>9.280882897141618E-2</v>
      </c>
      <c r="W992">
        <v>4.8235602934700028E-2</v>
      </c>
      <c r="X992">
        <v>7.167238001869216E-3</v>
      </c>
      <c r="Y992">
        <v>2.1657877687312121E-3</v>
      </c>
    </row>
    <row r="993" spans="1:25" x14ac:dyDescent="0.25">
      <c r="A993" s="1096"/>
      <c r="B993" s="1455">
        <v>743</v>
      </c>
      <c r="C993" s="1100">
        <v>0.97985616777384643</v>
      </c>
      <c r="D993" s="1100">
        <v>0.99196168488573333</v>
      </c>
      <c r="E993" s="1100">
        <v>1.0151004750892865</v>
      </c>
      <c r="F993" s="1100">
        <v>0.96742108069966903</v>
      </c>
      <c r="G993" s="1100">
        <v>1.0383635051486277</v>
      </c>
      <c r="H993" s="1100">
        <v>1.0002788103957365</v>
      </c>
      <c r="I993" s="1100">
        <v>0.98094860098836789</v>
      </c>
      <c r="K993">
        <v>1.1275428688221318</v>
      </c>
      <c r="L993">
        <v>0</v>
      </c>
      <c r="M993">
        <v>7.9478428381168768E-4</v>
      </c>
      <c r="N993">
        <v>7.6549474506441798E-2</v>
      </c>
      <c r="O993">
        <v>1.0601239648594352E-2</v>
      </c>
      <c r="P993">
        <v>1.3335255914200763E-2</v>
      </c>
      <c r="Q993">
        <v>4.6735074502677086E-4</v>
      </c>
      <c r="R993">
        <v>7.9302452244267682E-4</v>
      </c>
      <c r="S993">
        <v>7.3278933700055046E-2</v>
      </c>
      <c r="T993">
        <v>0.79970616805975026</v>
      </c>
      <c r="U993">
        <v>0</v>
      </c>
      <c r="V993">
        <v>9.4247417388057059E-2</v>
      </c>
      <c r="W993">
        <v>4.9841145569948724E-2</v>
      </c>
      <c r="X993">
        <v>7.359291721801187E-3</v>
      </c>
      <c r="Y993">
        <v>2.1583513296254014E-3</v>
      </c>
    </row>
    <row r="994" spans="1:25" x14ac:dyDescent="0.25">
      <c r="A994" s="1096"/>
      <c r="B994" s="1455">
        <v>744</v>
      </c>
      <c r="C994" s="1100">
        <v>0.96033887064234991</v>
      </c>
      <c r="D994" s="1100">
        <v>0.97153084492778197</v>
      </c>
      <c r="E994" s="1100">
        <v>0.99224442880277897</v>
      </c>
      <c r="F994" s="1100">
        <v>0.99056162482514798</v>
      </c>
      <c r="G994" s="1100">
        <v>0.98554774612864626</v>
      </c>
      <c r="H994" s="1100">
        <v>0.99190970449146987</v>
      </c>
      <c r="I994" s="1100">
        <v>0.98540261546475327</v>
      </c>
      <c r="K994">
        <v>1.1494181219781783</v>
      </c>
      <c r="L994">
        <v>0</v>
      </c>
      <c r="M994">
        <v>8.5026675537903278E-4</v>
      </c>
      <c r="N994">
        <v>7.6429098487421895E-2</v>
      </c>
      <c r="O994">
        <v>1.089922790339567E-2</v>
      </c>
      <c r="P994">
        <v>1.3396693529439768E-2</v>
      </c>
      <c r="Q994">
        <v>4.6959612751305656E-4</v>
      </c>
      <c r="R994">
        <v>8.4836826396432919E-4</v>
      </c>
      <c r="S994">
        <v>7.5533769467730869E-2</v>
      </c>
      <c r="T994">
        <v>0.82033120340728483</v>
      </c>
      <c r="U994">
        <v>0</v>
      </c>
      <c r="V994">
        <v>9.2499964649219862E-2</v>
      </c>
      <c r="W994">
        <v>5.0441406423842178E-2</v>
      </c>
      <c r="X994">
        <v>7.110081723755172E-3</v>
      </c>
      <c r="Y994">
        <v>2.3089787499878498E-3</v>
      </c>
    </row>
    <row r="995" spans="1:25" x14ac:dyDescent="0.25">
      <c r="A995" s="1096"/>
      <c r="B995" s="1455">
        <v>745</v>
      </c>
      <c r="C995" s="1100">
        <v>1.0006472220108114</v>
      </c>
      <c r="D995" s="1100">
        <v>1.0077791158371003</v>
      </c>
      <c r="E995" s="1100">
        <v>0.95973313000638771</v>
      </c>
      <c r="F995" s="1100">
        <v>0.95724622473206178</v>
      </c>
      <c r="G995" s="1100">
        <v>0.96911078364702929</v>
      </c>
      <c r="H995" s="1100">
        <v>0.99521696040964214</v>
      </c>
      <c r="I995" s="1100">
        <v>0.9888454718086549</v>
      </c>
      <c r="K995">
        <v>1.1066685014375677</v>
      </c>
      <c r="L995">
        <v>0</v>
      </c>
      <c r="M995">
        <v>8.6289485400349998E-4</v>
      </c>
      <c r="N995">
        <v>7.0296107446484388E-2</v>
      </c>
      <c r="O995">
        <v>1.0297471790927644E-2</v>
      </c>
      <c r="P995">
        <v>1.2654416367176858E-2</v>
      </c>
      <c r="Q995">
        <v>4.2921609971780655E-4</v>
      </c>
      <c r="R995">
        <v>8.6097456900891152E-4</v>
      </c>
      <c r="S995">
        <v>7.1482350383516732E-2</v>
      </c>
      <c r="T995">
        <v>0.79482569145042259</v>
      </c>
      <c r="U995">
        <v>0</v>
      </c>
      <c r="V995">
        <v>9.0752850011304703E-2</v>
      </c>
      <c r="W995">
        <v>4.7316526353031345E-2</v>
      </c>
      <c r="X995">
        <v>6.2725028633267748E-3</v>
      </c>
      <c r="Y995">
        <v>2.3432889566518621E-3</v>
      </c>
    </row>
    <row r="996" spans="1:25" x14ac:dyDescent="0.25">
      <c r="A996" s="1096"/>
      <c r="B996" s="1455">
        <v>746</v>
      </c>
      <c r="C996" s="1100">
        <v>1.0153970188682935</v>
      </c>
      <c r="D996" s="1100">
        <v>0.9837531005912834</v>
      </c>
      <c r="E996" s="1100">
        <v>1.0016481809919702</v>
      </c>
      <c r="F996" s="1100">
        <v>1.0059955220879384</v>
      </c>
      <c r="G996" s="1100">
        <v>0.97652103270121848</v>
      </c>
      <c r="H996" s="1100">
        <v>0.95639588447760004</v>
      </c>
      <c r="I996" s="1100">
        <v>0.99838734803951845</v>
      </c>
      <c r="K996">
        <v>1.1430387953516603</v>
      </c>
      <c r="L996">
        <v>0</v>
      </c>
      <c r="M996">
        <v>7.566066251536521E-4</v>
      </c>
      <c r="N996">
        <v>6.9964702719524999E-2</v>
      </c>
      <c r="O996">
        <v>1.0259865270558674E-2</v>
      </c>
      <c r="P996">
        <v>1.3564048934820879E-2</v>
      </c>
      <c r="Q996">
        <v>4.4625442365460932E-4</v>
      </c>
      <c r="R996">
        <v>7.5485452866562138E-4</v>
      </c>
      <c r="S996">
        <v>7.0496296042133366E-2</v>
      </c>
      <c r="T996">
        <v>0.83248550668883214</v>
      </c>
      <c r="U996">
        <v>0</v>
      </c>
      <c r="V996">
        <v>9.0716332918515483E-2</v>
      </c>
      <c r="W996">
        <v>4.5917080942571249E-2</v>
      </c>
      <c r="X996">
        <v>7.135994318237064E-3</v>
      </c>
      <c r="Y996">
        <v>2.0544651892993242E-3</v>
      </c>
    </row>
    <row r="997" spans="1:25" x14ac:dyDescent="0.25">
      <c r="A997" s="1096"/>
      <c r="B997" s="1455">
        <v>747</v>
      </c>
      <c r="C997" s="1100">
        <v>1.0235220070402347</v>
      </c>
      <c r="D997" s="1100">
        <v>1.0068124436226276</v>
      </c>
      <c r="E997" s="1100">
        <v>1.0024680438781974</v>
      </c>
      <c r="F997" s="1100">
        <v>0.96704495660402323</v>
      </c>
      <c r="G997" s="1100">
        <v>0.99918246380054998</v>
      </c>
      <c r="H997" s="1100">
        <v>0.99021370241186957</v>
      </c>
      <c r="I997" s="1100">
        <v>1.0408878355965188</v>
      </c>
      <c r="K997">
        <v>1.1159247693005212</v>
      </c>
      <c r="L997">
        <v>0</v>
      </c>
      <c r="M997">
        <v>7.6866352054915721E-4</v>
      </c>
      <c r="N997">
        <v>7.1261527381806092E-2</v>
      </c>
      <c r="O997">
        <v>1.0084784822741829E-2</v>
      </c>
      <c r="P997">
        <v>1.31823408939658E-2</v>
      </c>
      <c r="Q997">
        <v>4.3900049641847246E-4</v>
      </c>
      <c r="R997">
        <v>7.669442947611972E-4</v>
      </c>
      <c r="S997">
        <v>7.3443182859872461E-2</v>
      </c>
      <c r="T997">
        <v>0.80020053908962785</v>
      </c>
      <c r="U997">
        <v>0</v>
      </c>
      <c r="V997">
        <v>9.1491520128930456E-2</v>
      </c>
      <c r="W997">
        <v>4.6745426257596499E-2</v>
      </c>
      <c r="X997">
        <v>6.9907970481275349E-3</v>
      </c>
      <c r="Y997">
        <v>2.0873695472211581E-3</v>
      </c>
    </row>
    <row r="998" spans="1:25" x14ac:dyDescent="0.25">
      <c r="A998" s="1096"/>
      <c r="B998" s="1455">
        <v>748</v>
      </c>
      <c r="C998" s="1100">
        <v>0.98395471860624439</v>
      </c>
      <c r="D998" s="1100">
        <v>0.99297017351491534</v>
      </c>
      <c r="E998" s="1100">
        <v>1.0294819230980041</v>
      </c>
      <c r="F998" s="1100">
        <v>1.0002494304032123</v>
      </c>
      <c r="G998" s="1100">
        <v>1.0037308543996155</v>
      </c>
      <c r="H998" s="1100">
        <v>1.0214893478153784</v>
      </c>
      <c r="I998" s="1100">
        <v>1.0162018835489273</v>
      </c>
      <c r="K998">
        <v>1.1596163642003632</v>
      </c>
      <c r="L998">
        <v>0</v>
      </c>
      <c r="M998">
        <v>7.8410262550634362E-4</v>
      </c>
      <c r="N998">
        <v>7.8872367307586441E-2</v>
      </c>
      <c r="O998">
        <v>1.0557604855240923E-2</v>
      </c>
      <c r="P998">
        <v>1.3863729746643258E-2</v>
      </c>
      <c r="Q998">
        <v>4.721207623324466E-4</v>
      </c>
      <c r="R998">
        <v>7.8240256396140413E-4</v>
      </c>
      <c r="S998">
        <v>7.6468509488657604E-2</v>
      </c>
      <c r="T998">
        <v>0.82590133402136268</v>
      </c>
      <c r="U998">
        <v>0</v>
      </c>
      <c r="V998">
        <v>9.2664177741321449E-2</v>
      </c>
      <c r="W998">
        <v>5.0924070929562699E-2</v>
      </c>
      <c r="X998">
        <v>7.7647075490323769E-3</v>
      </c>
      <c r="Y998">
        <v>2.1294418601670497E-3</v>
      </c>
    </row>
    <row r="999" spans="1:25" x14ac:dyDescent="0.25">
      <c r="A999" s="1096"/>
      <c r="B999" s="1455">
        <v>749</v>
      </c>
      <c r="C999" s="1100">
        <v>1.0192025090347587</v>
      </c>
      <c r="D999" s="1100">
        <v>0.96529912126204398</v>
      </c>
      <c r="E999" s="1100">
        <v>0.97032531991904425</v>
      </c>
      <c r="F999" s="1100">
        <v>0.98233435475590158</v>
      </c>
      <c r="G999" s="1100">
        <v>0.99232551809267977</v>
      </c>
      <c r="H999" s="1100">
        <v>1.0088664562253433</v>
      </c>
      <c r="I999" s="1100">
        <v>1.0133624442022726</v>
      </c>
      <c r="K999">
        <v>1.1330317335806359</v>
      </c>
      <c r="L999">
        <v>0</v>
      </c>
      <c r="M999">
        <v>8.5484340081070644E-4</v>
      </c>
      <c r="N999">
        <v>7.1912906219657555E-2</v>
      </c>
      <c r="O999">
        <v>1.0289098045323448E-2</v>
      </c>
      <c r="P999">
        <v>1.3068703505166665E-2</v>
      </c>
      <c r="Q999">
        <v>4.3354827115793385E-4</v>
      </c>
      <c r="R999">
        <v>8.5296677165709275E-4</v>
      </c>
      <c r="S999">
        <v>7.4103039600047924E-2</v>
      </c>
      <c r="T999">
        <v>0.81495636515121073</v>
      </c>
      <c r="U999">
        <v>0</v>
      </c>
      <c r="V999">
        <v>9.1296626239525266E-2</v>
      </c>
      <c r="W999">
        <v>4.8092520095997585E-2</v>
      </c>
      <c r="X999">
        <v>6.5593087096725306E-3</v>
      </c>
      <c r="Y999">
        <v>2.3214943720298981E-3</v>
      </c>
    </row>
    <row r="1000" spans="1:25" x14ac:dyDescent="0.25">
      <c r="A1000" s="1096"/>
      <c r="B1000" s="1455">
        <v>750</v>
      </c>
      <c r="C1000" s="1100">
        <v>1.0088760997605817</v>
      </c>
      <c r="D1000" s="1100">
        <v>0.9817362884000711</v>
      </c>
      <c r="E1000" s="1100">
        <v>1.0300400919069614</v>
      </c>
      <c r="F1000" s="1100">
        <v>1.0382803964700698</v>
      </c>
      <c r="G1000" s="1100">
        <v>1.0216920532486915</v>
      </c>
      <c r="H1000" s="1100">
        <v>0.97736687511335474</v>
      </c>
      <c r="I1000" s="1100">
        <v>0.99777051553035612</v>
      </c>
      <c r="K1000">
        <v>1.1784998016987362</v>
      </c>
      <c r="L1000">
        <v>0</v>
      </c>
      <c r="M1000">
        <v>7.3418480861089745E-4</v>
      </c>
      <c r="N1000">
        <v>7.3968282237405189E-2</v>
      </c>
      <c r="O1000">
        <v>1.0343962074523259E-2</v>
      </c>
      <c r="P1000">
        <v>1.4244269112481337E-2</v>
      </c>
      <c r="Q1000">
        <v>4.6282234277706671E-4</v>
      </c>
      <c r="R1000">
        <v>7.3252111497202016E-4</v>
      </c>
      <c r="S1000">
        <v>7.1866353013476311E-2</v>
      </c>
      <c r="T1000">
        <v>0.8572655179911437</v>
      </c>
      <c r="U1000">
        <v>0</v>
      </c>
      <c r="V1000">
        <v>9.2809357786360541E-2</v>
      </c>
      <c r="W1000">
        <v>4.7742266443629833E-2</v>
      </c>
      <c r="X1000">
        <v>7.8049533911431915E-3</v>
      </c>
      <c r="Y1000">
        <v>1.9936809994331862E-3</v>
      </c>
    </row>
    <row r="1001" spans="1:25" x14ac:dyDescent="0.25">
      <c r="A1001" s="1096"/>
      <c r="B1001" s="1455">
        <v>751</v>
      </c>
      <c r="C1001" s="1100">
        <v>1.0213847816402379</v>
      </c>
      <c r="D1001" s="1100">
        <v>1.014819901317227</v>
      </c>
      <c r="E1001" s="1100">
        <v>0.97907014364767198</v>
      </c>
      <c r="F1001" s="1100">
        <v>0.98672848834255</v>
      </c>
      <c r="G1001" s="1100">
        <v>0.99662468163045514</v>
      </c>
      <c r="H1001" s="1100">
        <v>1.028790341629368</v>
      </c>
      <c r="I1001" s="1100">
        <v>0.97281978744153852</v>
      </c>
      <c r="K1001">
        <v>1.1324460965659677</v>
      </c>
      <c r="L1001">
        <v>0</v>
      </c>
      <c r="M1001">
        <v>8.3736271047676978E-4</v>
      </c>
      <c r="N1001">
        <v>7.2334889205172392E-2</v>
      </c>
      <c r="O1001">
        <v>1.0066472074883601E-2</v>
      </c>
      <c r="P1001">
        <v>1.3143668601680774E-2</v>
      </c>
      <c r="Q1001">
        <v>4.2796570711361109E-4</v>
      </c>
      <c r="R1001">
        <v>8.3556005672647796E-4</v>
      </c>
      <c r="S1001">
        <v>6.9964456406913664E-2</v>
      </c>
      <c r="T1001">
        <v>0.81802346120514979</v>
      </c>
      <c r="U1001">
        <v>0</v>
      </c>
      <c r="V1001">
        <v>9.1429660631851317E-2</v>
      </c>
      <c r="W1001">
        <v>4.8118893131180604E-2</v>
      </c>
      <c r="X1001">
        <v>6.6643132236618068E-3</v>
      </c>
      <c r="Y1001">
        <v>2.2741190321108004E-3</v>
      </c>
    </row>
    <row r="1002" spans="1:25" x14ac:dyDescent="0.25">
      <c r="A1002" s="1096"/>
      <c r="B1002" s="1455">
        <v>752</v>
      </c>
      <c r="C1002" s="1100">
        <v>0.97963900428905182</v>
      </c>
      <c r="D1002" s="1100">
        <v>0.97328951829423349</v>
      </c>
      <c r="E1002" s="1100">
        <v>0.98965125143074473</v>
      </c>
      <c r="F1002" s="1100">
        <v>0.98491673950417014</v>
      </c>
      <c r="G1002" s="1100">
        <v>1.0345543427622632</v>
      </c>
      <c r="H1002" s="1100">
        <v>1.0412950741524187</v>
      </c>
      <c r="I1002" s="1100">
        <v>0.99863983837284509</v>
      </c>
      <c r="K1002">
        <v>1.151088877877295</v>
      </c>
      <c r="L1002">
        <v>0</v>
      </c>
      <c r="M1002">
        <v>8.7909117498811268E-4</v>
      </c>
      <c r="N1002">
        <v>7.8411323471531416E-2</v>
      </c>
      <c r="O1002">
        <v>1.06758980148625E-2</v>
      </c>
      <c r="P1002">
        <v>1.3351470562903943E-2</v>
      </c>
      <c r="Q1002">
        <v>4.5877047582908458E-4</v>
      </c>
      <c r="R1002">
        <v>8.7722141576489329E-4</v>
      </c>
      <c r="S1002">
        <v>7.7037495531831438E-2</v>
      </c>
      <c r="T1002">
        <v>0.81582624510708224</v>
      </c>
      <c r="U1002">
        <v>0</v>
      </c>
      <c r="V1002">
        <v>9.4086715453212746E-2</v>
      </c>
      <c r="W1002">
        <v>5.1830021962138283E-2</v>
      </c>
      <c r="X1002">
        <v>7.0252995393763513E-3</v>
      </c>
      <c r="Y1002">
        <v>2.3875075177500508E-3</v>
      </c>
    </row>
    <row r="1003" spans="1:25" x14ac:dyDescent="0.25">
      <c r="A1003" s="1096"/>
      <c r="B1003" s="1455">
        <v>753</v>
      </c>
      <c r="C1003" s="1100">
        <v>1.0069698695391516</v>
      </c>
      <c r="D1003" s="1100">
        <v>0.98297398119463963</v>
      </c>
      <c r="E1003" s="1100">
        <v>0.98915089499969155</v>
      </c>
      <c r="F1003" s="1100">
        <v>0.99045183799691983</v>
      </c>
      <c r="G1003" s="1100">
        <v>1.0426552194099976</v>
      </c>
      <c r="H1003" s="1100">
        <v>1.0056491851116909</v>
      </c>
      <c r="I1003" s="1100">
        <v>0.98814589216692572</v>
      </c>
      <c r="K1003">
        <v>1.1416661400002988</v>
      </c>
      <c r="L1003">
        <v>0</v>
      </c>
      <c r="M1003">
        <v>8.2354288380419088E-4</v>
      </c>
      <c r="N1003">
        <v>7.3340056875378951E-2</v>
      </c>
      <c r="O1003">
        <v>1.0344920448331931E-2</v>
      </c>
      <c r="P1003">
        <v>1.3340827160347615E-2</v>
      </c>
      <c r="Q1003">
        <v>4.4432268377533521E-4</v>
      </c>
      <c r="R1003">
        <v>8.2172918448205972E-4</v>
      </c>
      <c r="S1003">
        <v>7.235124212333191E-2</v>
      </c>
      <c r="T1003">
        <v>0.82044405770323514</v>
      </c>
      <c r="U1003">
        <v>0</v>
      </c>
      <c r="V1003">
        <v>9.3746537977769523E-2</v>
      </c>
      <c r="W1003">
        <v>4.8492445897442248E-2</v>
      </c>
      <c r="X1003">
        <v>6.9270668727993406E-3</v>
      </c>
      <c r="Y1003">
        <v>2.2364759572073034E-3</v>
      </c>
    </row>
    <row r="1004" spans="1:25" x14ac:dyDescent="0.25">
      <c r="A1004" s="1096"/>
      <c r="B1004" s="1455">
        <v>754</v>
      </c>
      <c r="C1004" s="1100">
        <v>1.0136155427595093</v>
      </c>
      <c r="D1004" s="1100">
        <v>1.0166401250727031</v>
      </c>
      <c r="E1004" s="1100">
        <v>1.0005270213520883</v>
      </c>
      <c r="F1004" s="1100">
        <v>0.9775379123748853</v>
      </c>
      <c r="G1004" s="1100">
        <v>1.0005749257229344</v>
      </c>
      <c r="H1004" s="1100">
        <v>0.98760348068347203</v>
      </c>
      <c r="I1004" s="1100">
        <v>0.99153199661362268</v>
      </c>
      <c r="K1004">
        <v>1.1221302611341433</v>
      </c>
      <c r="L1004">
        <v>0</v>
      </c>
      <c r="M1004">
        <v>7.7423963639931597E-4</v>
      </c>
      <c r="N1004">
        <v>7.1358408187646966E-2</v>
      </c>
      <c r="O1004">
        <v>1.0143233577540729E-2</v>
      </c>
      <c r="P1004">
        <v>1.3242973013936336E-2</v>
      </c>
      <c r="Q1004">
        <v>4.4068489230680597E-4</v>
      </c>
      <c r="R1004">
        <v>7.7250336197991058E-4</v>
      </c>
      <c r="S1004">
        <v>7.0187478858252467E-2</v>
      </c>
      <c r="T1004">
        <v>0.80900866995276799</v>
      </c>
      <c r="U1004">
        <v>0</v>
      </c>
      <c r="V1004">
        <v>9.1787425126570205E-2</v>
      </c>
      <c r="W1004">
        <v>4.6862945049646013E-2</v>
      </c>
      <c r="X1004">
        <v>6.9976792542505526E-3</v>
      </c>
      <c r="Y1004">
        <v>2.1024994956444797E-3</v>
      </c>
    </row>
    <row r="1005" spans="1:25" x14ac:dyDescent="0.25">
      <c r="A1005" s="1096"/>
      <c r="B1005" s="1455">
        <v>755</v>
      </c>
      <c r="C1005" s="1100">
        <v>0.99948835489445897</v>
      </c>
      <c r="D1005" s="1100">
        <v>0.96996709744956455</v>
      </c>
      <c r="E1005" s="1100">
        <v>1.0133786890418064</v>
      </c>
      <c r="F1005" s="1100">
        <v>1.0231072827832677</v>
      </c>
      <c r="G1005" s="1100">
        <v>1.0031547350360237</v>
      </c>
      <c r="H1005" s="1100">
        <v>1.0105622493721889</v>
      </c>
      <c r="I1005" s="1100">
        <v>0.98113746242779742</v>
      </c>
      <c r="K1005">
        <v>1.1719076891430458</v>
      </c>
      <c r="L1005">
        <v>0</v>
      </c>
      <c r="M1005">
        <v>7.9712330613640253E-4</v>
      </c>
      <c r="N1005">
        <v>7.6378560069028434E-2</v>
      </c>
      <c r="O1005">
        <v>1.0486069041744485E-2</v>
      </c>
      <c r="P1005">
        <v>1.3923600227091265E-2</v>
      </c>
      <c r="Q1005">
        <v>4.6148039325408024E-4</v>
      </c>
      <c r="R1005">
        <v>7.9537632580944776E-4</v>
      </c>
      <c r="S1005">
        <v>7.3099834032783959E-2</v>
      </c>
      <c r="T1005">
        <v>0.84585426099424066</v>
      </c>
      <c r="U1005">
        <v>0</v>
      </c>
      <c r="V1005">
        <v>9.2245275643037375E-2</v>
      </c>
      <c r="W1005">
        <v>4.9780211374966341E-2</v>
      </c>
      <c r="X1005">
        <v>7.5153921841084629E-3</v>
      </c>
      <c r="Y1005">
        <v>2.1647521631179803E-3</v>
      </c>
    </row>
    <row r="1006" spans="1:25" x14ac:dyDescent="0.25">
      <c r="A1006" s="1096"/>
      <c r="B1006" s="1455">
        <v>756</v>
      </c>
      <c r="C1006" s="1100">
        <v>1.0145548212024471</v>
      </c>
      <c r="D1006" s="1100">
        <v>1.0149581703130144</v>
      </c>
      <c r="E1006" s="1100">
        <v>1.0312236877929699</v>
      </c>
      <c r="F1006" s="1100">
        <v>1.0031043840719216</v>
      </c>
      <c r="G1006" s="1100">
        <v>0.97254949437702631</v>
      </c>
      <c r="H1006" s="1100">
        <v>1.0160374153845011</v>
      </c>
      <c r="I1006" s="1100">
        <v>0.96975663289182834</v>
      </c>
      <c r="K1006">
        <v>1.1468274913701741</v>
      </c>
      <c r="L1006">
        <v>0</v>
      </c>
      <c r="M1006">
        <v>7.4708024050534319E-4</v>
      </c>
      <c r="N1006">
        <v>7.554303609724812E-2</v>
      </c>
      <c r="O1006">
        <v>1.0150425080015157E-2</v>
      </c>
      <c r="P1006">
        <v>1.3789906360280492E-2</v>
      </c>
      <c r="Q1006">
        <v>4.5469446593527236E-4</v>
      </c>
      <c r="R1006">
        <v>7.454517578896826E-4</v>
      </c>
      <c r="S1006">
        <v>6.9774657456539768E-2</v>
      </c>
      <c r="T1006">
        <v>0.82814470376313354</v>
      </c>
      <c r="U1006">
        <v>0</v>
      </c>
      <c r="V1006">
        <v>9.0571949532604321E-2</v>
      </c>
      <c r="W1006">
        <v>4.8725207886828499E-2</v>
      </c>
      <c r="X1006">
        <v>7.6456652633354544E-3</v>
      </c>
      <c r="Y1006">
        <v>2.0288739468697714E-3</v>
      </c>
    </row>
    <row r="1007" spans="1:25" x14ac:dyDescent="0.25">
      <c r="A1007" s="1096"/>
      <c r="B1007" s="1455">
        <v>757</v>
      </c>
      <c r="C1007" s="1100">
        <v>1.0160934633857923</v>
      </c>
      <c r="D1007" s="1100">
        <v>1.0232973369196441</v>
      </c>
      <c r="E1007" s="1100">
        <v>0.98173493052657024</v>
      </c>
      <c r="F1007" s="1100">
        <v>0.97796148400283089</v>
      </c>
      <c r="G1007" s="1100">
        <v>1.025109220320628</v>
      </c>
      <c r="H1007" s="1100">
        <v>1.0179711343110027</v>
      </c>
      <c r="I1007" s="1100">
        <v>1.0093687353253977</v>
      </c>
      <c r="K1007">
        <v>1.1277916040553229</v>
      </c>
      <c r="L1007">
        <v>0</v>
      </c>
      <c r="M1007">
        <v>8.2554276066681954E-4</v>
      </c>
      <c r="N1007">
        <v>7.1889476031871805E-2</v>
      </c>
      <c r="O1007">
        <v>1.0086125750635076E-2</v>
      </c>
      <c r="P1007">
        <v>1.3118875776790811E-2</v>
      </c>
      <c r="Q1007">
        <v>4.2996397780511607E-4</v>
      </c>
      <c r="R1007">
        <v>8.2374666407837832E-4</v>
      </c>
      <c r="S1007">
        <v>7.2231493155656426E-2</v>
      </c>
      <c r="T1007">
        <v>0.81058120115976273</v>
      </c>
      <c r="U1007">
        <v>0</v>
      </c>
      <c r="V1007">
        <v>9.2774464531693746E-2</v>
      </c>
      <c r="W1007">
        <v>4.7745730582297703E-2</v>
      </c>
      <c r="X1007">
        <v>6.6941023137905382E-3</v>
      </c>
      <c r="Y1007">
        <v>2.241966871606512E-3</v>
      </c>
    </row>
    <row r="1008" spans="1:25" x14ac:dyDescent="0.25">
      <c r="A1008" s="1096"/>
      <c r="B1008" s="1455">
        <v>758</v>
      </c>
      <c r="C1008" s="1100">
        <v>1.0196936661888485</v>
      </c>
      <c r="D1008" s="1100">
        <v>1.0291138341061496</v>
      </c>
      <c r="E1008" s="1100">
        <v>1.001500673418023</v>
      </c>
      <c r="F1008" s="1100">
        <v>1.0250997015996852</v>
      </c>
      <c r="G1008" s="1100">
        <v>0.9961152582021765</v>
      </c>
      <c r="H1008" s="1100">
        <v>1.0011713047323172</v>
      </c>
      <c r="I1008" s="1100">
        <v>0.99660868465368224</v>
      </c>
      <c r="K1008">
        <v>1.1621532820024885</v>
      </c>
      <c r="L1008">
        <v>0</v>
      </c>
      <c r="M1008">
        <v>7.7483457589267682E-4</v>
      </c>
      <c r="N1008">
        <v>7.1625786538939418E-2</v>
      </c>
      <c r="O1008">
        <v>1.0034017932669401E-2</v>
      </c>
      <c r="P1008">
        <v>1.3784729574332095E-2</v>
      </c>
      <c r="Q1008">
        <v>4.3636650964895649E-4</v>
      </c>
      <c r="R1008">
        <v>7.7312051527508819E-4</v>
      </c>
      <c r="S1008">
        <v>7.0222992327651501E-2</v>
      </c>
      <c r="T1008">
        <v>0.84830467813907062</v>
      </c>
      <c r="U1008">
        <v>0</v>
      </c>
      <c r="V1008">
        <v>9.145116133931612E-2</v>
      </c>
      <c r="W1008">
        <v>4.7011348570557471E-2</v>
      </c>
      <c r="X1008">
        <v>7.1797359474497155E-3</v>
      </c>
      <c r="Y1008">
        <v>2.1041791834694244E-3</v>
      </c>
    </row>
    <row r="1009" spans="1:25" x14ac:dyDescent="0.25">
      <c r="A1009" s="1096"/>
      <c r="B1009" s="1455">
        <v>759</v>
      </c>
      <c r="C1009" s="1100">
        <v>1.0241114209730708</v>
      </c>
      <c r="D1009" s="1100">
        <v>0.97592878070357314</v>
      </c>
      <c r="E1009" s="1100">
        <v>0.96364830815541147</v>
      </c>
      <c r="F1009" s="1100">
        <v>1.0157067378880418</v>
      </c>
      <c r="G1009" s="1100">
        <v>1.013614315212535</v>
      </c>
      <c r="H1009" s="1100">
        <v>1.0191587529285846</v>
      </c>
      <c r="I1009" s="1100">
        <v>0.99914268419806718</v>
      </c>
      <c r="K1009">
        <v>1.1603398293453977</v>
      </c>
      <c r="L1009">
        <v>0</v>
      </c>
      <c r="M1009">
        <v>8.6753915582625908E-4</v>
      </c>
      <c r="N1009">
        <v>7.1521535195956387E-2</v>
      </c>
      <c r="O1009">
        <v>1.0192877076103297E-2</v>
      </c>
      <c r="P1009">
        <v>1.3366911272878788E-2</v>
      </c>
      <c r="Q1009">
        <v>4.2656787147665103E-4</v>
      </c>
      <c r="R1009">
        <v>8.6565388900406652E-4</v>
      </c>
      <c r="S1009">
        <v>7.2709696477528563E-2</v>
      </c>
      <c r="T1009">
        <v>0.84309872953034626</v>
      </c>
      <c r="U1009">
        <v>0</v>
      </c>
      <c r="V1009">
        <v>9.2090009744587364E-2</v>
      </c>
      <c r="W1009">
        <v>4.8026027298891216E-2</v>
      </c>
      <c r="X1009">
        <v>6.5533356213103525E-3</v>
      </c>
      <c r="Y1009">
        <v>2.3560245231412516E-3</v>
      </c>
    </row>
    <row r="1010" spans="1:25" x14ac:dyDescent="0.25">
      <c r="A1010" s="1096"/>
      <c r="B1010" s="1455">
        <v>760</v>
      </c>
      <c r="C1010" s="1100">
        <v>1.012972367760856</v>
      </c>
      <c r="D1010" s="1100">
        <v>0.99955489179800827</v>
      </c>
      <c r="E1010" s="1100">
        <v>0.97360176644239271</v>
      </c>
      <c r="F1010" s="1100">
        <v>0.97075945254246709</v>
      </c>
      <c r="G1010" s="1100">
        <v>0.99699192702010164</v>
      </c>
      <c r="H1010" s="1100">
        <v>0.9890288866670307</v>
      </c>
      <c r="I1010" s="1100">
        <v>1.0004094815077231</v>
      </c>
      <c r="K1010">
        <v>1.1176570212996864</v>
      </c>
      <c r="L1010">
        <v>0</v>
      </c>
      <c r="M1010">
        <v>8.2590159122676642E-4</v>
      </c>
      <c r="N1010">
        <v>7.016770977055746E-2</v>
      </c>
      <c r="O1010">
        <v>1.0210032674253295E-2</v>
      </c>
      <c r="P1010">
        <v>1.2940333695886553E-2</v>
      </c>
      <c r="Q1010">
        <v>4.3165825419950386E-4</v>
      </c>
      <c r="R1010">
        <v>8.2405213139025732E-4</v>
      </c>
      <c r="S1010">
        <v>7.1507027137701684E-2</v>
      </c>
      <c r="T1010">
        <v>0.80514022873307234</v>
      </c>
      <c r="U1010">
        <v>0</v>
      </c>
      <c r="V1010">
        <v>9.1646107379498284E-2</v>
      </c>
      <c r="W1010">
        <v>4.6832063640145541E-2</v>
      </c>
      <c r="X1010">
        <v>6.5409112212754328E-3</v>
      </c>
      <c r="Y1010">
        <v>2.242798252932175E-3</v>
      </c>
    </row>
    <row r="1011" spans="1:25" x14ac:dyDescent="0.25">
      <c r="A1011" s="1096"/>
      <c r="B1011" s="1455">
        <v>761</v>
      </c>
      <c r="C1011" s="1100">
        <v>0.9861213069848076</v>
      </c>
      <c r="D1011" s="1100">
        <v>0.9636562041166814</v>
      </c>
      <c r="E1011" s="1100">
        <v>1.0103778929670844</v>
      </c>
      <c r="F1011" s="1100">
        <v>1.0259568307062206</v>
      </c>
      <c r="G1011" s="1100">
        <v>1.0162521288786062</v>
      </c>
      <c r="H1011" s="1100">
        <v>1.0372160284118626</v>
      </c>
      <c r="I1011" s="1100">
        <v>0.99044821794174942</v>
      </c>
      <c r="K1011">
        <v>1.183939821175104</v>
      </c>
      <c r="L1011">
        <v>0</v>
      </c>
      <c r="M1011">
        <v>8.3660652263520003E-4</v>
      </c>
      <c r="N1011">
        <v>7.944339834264047E-2</v>
      </c>
      <c r="O1011">
        <v>1.0654983604949793E-2</v>
      </c>
      <c r="P1011">
        <v>1.3982122263504889E-2</v>
      </c>
      <c r="Q1011">
        <v>4.6751109057154239E-4</v>
      </c>
      <c r="R1011">
        <v>8.3482012718190998E-4</v>
      </c>
      <c r="S1011">
        <v>7.6146901048914126E-2</v>
      </c>
      <c r="T1011">
        <v>0.84841276451027225</v>
      </c>
      <c r="U1011">
        <v>0</v>
      </c>
      <c r="V1011">
        <v>9.3140838125650341E-2</v>
      </c>
      <c r="W1011">
        <v>5.1869305203255174E-2</v>
      </c>
      <c r="X1011">
        <v>7.5516781929888151E-3</v>
      </c>
      <c r="Y1011">
        <v>2.2721051878081943E-3</v>
      </c>
    </row>
    <row r="1012" spans="1:25" x14ac:dyDescent="0.25">
      <c r="A1012" s="1096"/>
      <c r="B1012" s="1455">
        <v>762</v>
      </c>
      <c r="C1012" s="1100">
        <v>0.99717547459052269</v>
      </c>
      <c r="D1012" s="1100">
        <v>1.0156970883288208</v>
      </c>
      <c r="E1012" s="1100">
        <v>1.0189404657037964</v>
      </c>
      <c r="F1012" s="1100">
        <v>1.020006680564234</v>
      </c>
      <c r="G1012" s="1100">
        <v>0.99315277546420133</v>
      </c>
      <c r="H1012" s="1100">
        <v>0.9697392952519458</v>
      </c>
      <c r="I1012" s="1100">
        <v>0.98440679017185928</v>
      </c>
      <c r="K1012">
        <v>1.1587571580807325</v>
      </c>
      <c r="L1012">
        <v>0</v>
      </c>
      <c r="M1012">
        <v>7.4404273856954058E-4</v>
      </c>
      <c r="N1012">
        <v>7.2492424428428168E-2</v>
      </c>
      <c r="O1012">
        <v>1.0320304725856048E-2</v>
      </c>
      <c r="P1012">
        <v>1.3894534912227047E-2</v>
      </c>
      <c r="Q1012">
        <v>4.5670887549293841E-4</v>
      </c>
      <c r="R1012">
        <v>7.4234344479539704E-4</v>
      </c>
      <c r="S1012">
        <v>7.0173562288319821E-2</v>
      </c>
      <c r="T1012">
        <v>0.84291822480151002</v>
      </c>
      <c r="U1012">
        <v>0</v>
      </c>
      <c r="V1012">
        <v>9.1876201656667877E-2</v>
      </c>
      <c r="W1012">
        <v>4.7093443956153398E-2</v>
      </c>
      <c r="X1012">
        <v>7.5130375865696923E-3</v>
      </c>
      <c r="Y1012">
        <v>2.0204141432822618E-3</v>
      </c>
    </row>
    <row r="1013" spans="1:25" x14ac:dyDescent="0.25">
      <c r="A1013" s="1096"/>
      <c r="B1013" s="1455">
        <v>763</v>
      </c>
      <c r="C1013" s="1100">
        <v>1.0043654305103762</v>
      </c>
      <c r="D1013" s="1100">
        <v>1.0023872732367323</v>
      </c>
      <c r="E1013" s="1100">
        <v>0.99998709552061371</v>
      </c>
      <c r="F1013" s="1100">
        <v>1.0134669536145415</v>
      </c>
      <c r="G1013" s="1100">
        <v>1.0128723246178715</v>
      </c>
      <c r="H1013" s="1100">
        <v>0.97093060559189115</v>
      </c>
      <c r="I1013" s="1100">
        <v>1.0144976744974528</v>
      </c>
      <c r="K1013">
        <v>1.1552381798605882</v>
      </c>
      <c r="L1013">
        <v>0</v>
      </c>
      <c r="M1013">
        <v>7.7339539728307955E-4</v>
      </c>
      <c r="N1013">
        <v>7.1161673339599982E-2</v>
      </c>
      <c r="O1013">
        <v>1.0294451140422255E-2</v>
      </c>
      <c r="P1013">
        <v>1.3682744323154E-2</v>
      </c>
      <c r="Q1013">
        <v>4.4701208515230962E-4</v>
      </c>
      <c r="R1013">
        <v>7.71631233224553E-4</v>
      </c>
      <c r="S1013">
        <v>7.231713474796389E-2</v>
      </c>
      <c r="T1013">
        <v>0.83877970425271808</v>
      </c>
      <c r="U1013">
        <v>0</v>
      </c>
      <c r="V1013">
        <v>9.2538283426964046E-2</v>
      </c>
      <c r="W1013">
        <v>4.6748740426606344E-2</v>
      </c>
      <c r="X1013">
        <v>7.170074433395607E-3</v>
      </c>
      <c r="Y1013">
        <v>2.100125848669563E-3</v>
      </c>
    </row>
    <row r="1014" spans="1:25" x14ac:dyDescent="0.25">
      <c r="A1014" s="1096"/>
      <c r="B1014" s="1455">
        <v>764</v>
      </c>
      <c r="C1014" s="1100">
        <v>1.0102253124910889</v>
      </c>
      <c r="D1014" s="1100">
        <v>0.99083576015867458</v>
      </c>
      <c r="E1014" s="1100">
        <v>0.99938406230876897</v>
      </c>
      <c r="F1014" s="1100">
        <v>0.99035667805433181</v>
      </c>
      <c r="G1014" s="1100">
        <v>0.97782452220690774</v>
      </c>
      <c r="H1014" s="1100">
        <v>0.99538223875051013</v>
      </c>
      <c r="I1014" s="1100">
        <v>1.0050827742430273</v>
      </c>
      <c r="K1014">
        <v>1.1372819807071877</v>
      </c>
      <c r="L1014">
        <v>0</v>
      </c>
      <c r="M1014">
        <v>7.9292764541099387E-4</v>
      </c>
      <c r="N1014">
        <v>7.2830159729120936E-2</v>
      </c>
      <c r="O1014">
        <v>1.0282103550279966E-2</v>
      </c>
      <c r="P1014">
        <v>1.3398676120445279E-2</v>
      </c>
      <c r="Q1014">
        <v>4.4620532105863543E-4</v>
      </c>
      <c r="R1014">
        <v>7.9116335834387974E-4</v>
      </c>
      <c r="S1014">
        <v>7.2649794251360852E-2</v>
      </c>
      <c r="T1014">
        <v>0.81969239930085569</v>
      </c>
      <c r="U1014">
        <v>0</v>
      </c>
      <c r="V1014">
        <v>9.089664962482627E-2</v>
      </c>
      <c r="W1014">
        <v>4.786198636307451E-2</v>
      </c>
      <c r="X1014">
        <v>7.0724848787513056E-3</v>
      </c>
      <c r="Y1014">
        <v>2.1532858544810558E-3</v>
      </c>
    </row>
    <row r="1015" spans="1:25" x14ac:dyDescent="0.25">
      <c r="A1015" s="1096"/>
      <c r="B1015" s="1455">
        <v>765</v>
      </c>
      <c r="C1015" s="1100">
        <v>1.0371618406019458</v>
      </c>
      <c r="D1015" s="1100">
        <v>0.97394168151073723</v>
      </c>
      <c r="E1015" s="1100">
        <v>1.0054094515710739</v>
      </c>
      <c r="F1015" s="1100">
        <v>0.98282308879843416</v>
      </c>
      <c r="G1015" s="1100">
        <v>0.99737239580729908</v>
      </c>
      <c r="H1015" s="1100">
        <v>1.0180899772179062</v>
      </c>
      <c r="I1015" s="1100">
        <v>0.98350641464325261</v>
      </c>
      <c r="K1015">
        <v>1.1296143314160179</v>
      </c>
      <c r="L1015">
        <v>0</v>
      </c>
      <c r="M1015">
        <v>7.8552315865377013E-4</v>
      </c>
      <c r="N1015">
        <v>7.3478926257270941E-2</v>
      </c>
      <c r="O1015">
        <v>1.0086116019349872E-2</v>
      </c>
      <c r="P1015">
        <v>1.3344991728538182E-2</v>
      </c>
      <c r="Q1015">
        <v>4.4035567078745479E-4</v>
      </c>
      <c r="R1015">
        <v>7.8381433042660977E-4</v>
      </c>
      <c r="S1015">
        <v>7.0751019269154405E-2</v>
      </c>
      <c r="T1015">
        <v>0.81306544629068578</v>
      </c>
      <c r="U1015">
        <v>0</v>
      </c>
      <c r="V1015">
        <v>9.1096102894919581E-2</v>
      </c>
      <c r="W1015">
        <v>4.8116044359198834E-2</v>
      </c>
      <c r="X1015">
        <v>7.1037535312418985E-3</v>
      </c>
      <c r="Y1015">
        <v>2.1332842230966484E-3</v>
      </c>
    </row>
    <row r="1016" spans="1:25" x14ac:dyDescent="0.25">
      <c r="A1016" s="1096"/>
      <c r="B1016" s="1455">
        <v>766</v>
      </c>
      <c r="C1016" s="1100">
        <v>1.0072542460404001</v>
      </c>
      <c r="D1016" s="1100">
        <v>0.9661997946519244</v>
      </c>
      <c r="E1016" s="1100">
        <v>0.99220946857107795</v>
      </c>
      <c r="F1016" s="1100">
        <v>1.0003873803611496</v>
      </c>
      <c r="G1016" s="1100">
        <v>1.0138514161849261</v>
      </c>
      <c r="H1016" s="1100">
        <v>0.95204050837188425</v>
      </c>
      <c r="I1016" s="1100">
        <v>0.99981855007510245</v>
      </c>
      <c r="K1016">
        <v>1.1424009288391608</v>
      </c>
      <c r="L1016">
        <v>0</v>
      </c>
      <c r="M1016">
        <v>7.7985023120618333E-4</v>
      </c>
      <c r="N1016">
        <v>7.0085494882932448E-2</v>
      </c>
      <c r="O1016">
        <v>1.0414454239274583E-2</v>
      </c>
      <c r="P1016">
        <v>1.3453979569159457E-2</v>
      </c>
      <c r="Q1016">
        <v>4.4869368949691991E-4</v>
      </c>
      <c r="R1016">
        <v>7.7803604710948945E-4</v>
      </c>
      <c r="S1016">
        <v>7.1644198469363402E-2</v>
      </c>
      <c r="T1016">
        <v>0.82847070321944094</v>
      </c>
      <c r="U1016">
        <v>0</v>
      </c>
      <c r="V1016">
        <v>9.2508329077521601E-2</v>
      </c>
      <c r="W1016">
        <v>4.6255744359906176E-2</v>
      </c>
      <c r="X1016">
        <v>7.0035878754441221E-3</v>
      </c>
      <c r="Y1016">
        <v>2.1175576407180307E-3</v>
      </c>
    </row>
    <row r="1017" spans="1:25" x14ac:dyDescent="0.25">
      <c r="A1017" s="1096"/>
      <c r="B1017" s="1455">
        <v>767</v>
      </c>
      <c r="C1017" s="1100">
        <v>1.0400141614682314</v>
      </c>
      <c r="D1017" s="1100">
        <v>1.0358747024445751</v>
      </c>
      <c r="E1017" s="1100">
        <v>0.9857170231507264</v>
      </c>
      <c r="F1017" s="1100">
        <v>1.0169532088514748</v>
      </c>
      <c r="G1017" s="1100">
        <v>1.0063736228366877</v>
      </c>
      <c r="H1017" s="1100">
        <v>0.97853045278642159</v>
      </c>
      <c r="I1017" s="1100">
        <v>1.0094085955402783</v>
      </c>
      <c r="K1017">
        <v>1.1474044960225906</v>
      </c>
      <c r="L1017">
        <v>0</v>
      </c>
      <c r="M1017">
        <v>7.6519576053705042E-4</v>
      </c>
      <c r="N1017">
        <v>6.7435918432067171E-2</v>
      </c>
      <c r="O1017">
        <v>9.807339478856968E-3</v>
      </c>
      <c r="P1017">
        <v>1.352332963216195E-2</v>
      </c>
      <c r="Q1017">
        <v>4.1977157169315797E-4</v>
      </c>
      <c r="R1017">
        <v>7.6346385664880292E-4</v>
      </c>
      <c r="S1017">
        <v>6.860266646195913E-2</v>
      </c>
      <c r="T1017">
        <v>0.84262916938228338</v>
      </c>
      <c r="U1017">
        <v>0</v>
      </c>
      <c r="V1017">
        <v>9.1412876670175933E-2</v>
      </c>
      <c r="W1017">
        <v>4.4680633975252931E-2</v>
      </c>
      <c r="X1017">
        <v>6.8166253800244639E-3</v>
      </c>
      <c r="Y1017">
        <v>2.0778969420053371E-3</v>
      </c>
    </row>
    <row r="1018" spans="1:25" x14ac:dyDescent="0.25">
      <c r="A1018" s="1096"/>
      <c r="B1018" s="1455">
        <v>768</v>
      </c>
      <c r="C1018" s="1100">
        <v>1.0057478863289666</v>
      </c>
      <c r="D1018" s="1100">
        <v>0.99438061478697559</v>
      </c>
      <c r="E1018" s="1100">
        <v>1.0016528971988192</v>
      </c>
      <c r="F1018" s="1100">
        <v>1.0359250261088402</v>
      </c>
      <c r="G1018" s="1100">
        <v>1.0019758444185296</v>
      </c>
      <c r="H1018" s="1100">
        <v>1.0057174465960141</v>
      </c>
      <c r="I1018" s="1100">
        <v>1.0098045298658107</v>
      </c>
      <c r="K1018">
        <v>1.1796207792970073</v>
      </c>
      <c r="L1018">
        <v>0</v>
      </c>
      <c r="M1018">
        <v>7.9980537240219849E-4</v>
      </c>
      <c r="N1018">
        <v>7.3968837016767874E-2</v>
      </c>
      <c r="O1018">
        <v>1.0313875009513893E-2</v>
      </c>
      <c r="P1018">
        <v>1.3962684327046575E-2</v>
      </c>
      <c r="Q1018">
        <v>4.4860571031599502E-4</v>
      </c>
      <c r="R1018">
        <v>7.9804407006729369E-4</v>
      </c>
      <c r="S1018">
        <v>7.3607436814766544E-2</v>
      </c>
      <c r="T1018">
        <v>0.8572525684141169</v>
      </c>
      <c r="U1018">
        <v>0</v>
      </c>
      <c r="V1018">
        <v>9.2038749969740555E-2</v>
      </c>
      <c r="W1018">
        <v>4.8544815264385664E-2</v>
      </c>
      <c r="X1018">
        <v>7.312955189121154E-3</v>
      </c>
      <c r="Y1018">
        <v>2.1720128835661786E-3</v>
      </c>
    </row>
    <row r="1019" spans="1:25" x14ac:dyDescent="0.25">
      <c r="A1019" s="1096"/>
      <c r="B1019" s="1455">
        <v>769</v>
      </c>
      <c r="C1019" s="1100">
        <v>0.99432605554281661</v>
      </c>
      <c r="D1019" s="1100">
        <v>1.0316752993722631</v>
      </c>
      <c r="E1019" s="1100">
        <v>1.0060506062296317</v>
      </c>
      <c r="F1019" s="1100">
        <v>1.0102846658327798</v>
      </c>
      <c r="G1019" s="1100">
        <v>1.0304757375457096</v>
      </c>
      <c r="H1019" s="1100">
        <v>0.98275804615803319</v>
      </c>
      <c r="I1019" s="1100">
        <v>0.98926926620213418</v>
      </c>
      <c r="K1019">
        <v>1.1534131954540578</v>
      </c>
      <c r="L1019">
        <v>0</v>
      </c>
      <c r="M1019">
        <v>7.7188929013344233E-4</v>
      </c>
      <c r="N1019">
        <v>7.2337864730964305E-2</v>
      </c>
      <c r="O1019">
        <v>1.0281262548062726E-2</v>
      </c>
      <c r="P1019">
        <v>1.369412550889736E-2</v>
      </c>
      <c r="Q1019">
        <v>4.4916415452793629E-4</v>
      </c>
      <c r="R1019">
        <v>7.7014975187484497E-4</v>
      </c>
      <c r="S1019">
        <v>7.0662297127907517E-2</v>
      </c>
      <c r="T1019">
        <v>0.83574097190985819</v>
      </c>
      <c r="U1019">
        <v>0</v>
      </c>
      <c r="V1019">
        <v>9.3540838337488608E-2</v>
      </c>
      <c r="W1019">
        <v>4.7350879658970176E-2</v>
      </c>
      <c r="X1019">
        <v>7.261437270833635E-3</v>
      </c>
      <c r="Y1019">
        <v>2.0960937448058544E-3</v>
      </c>
    </row>
    <row r="1020" spans="1:25" x14ac:dyDescent="0.25">
      <c r="A1020" s="1096"/>
      <c r="B1020" s="1455">
        <v>770</v>
      </c>
      <c r="C1020" s="1100">
        <v>0.98235668125503817</v>
      </c>
      <c r="D1020" s="1100">
        <v>1.0261658007008161</v>
      </c>
      <c r="E1020" s="1100">
        <v>1.0295633975114695</v>
      </c>
      <c r="F1020" s="1100">
        <v>1.0242181316985803</v>
      </c>
      <c r="G1020" s="1100">
        <v>0.98874356477091996</v>
      </c>
      <c r="H1020" s="1100">
        <v>0.96999547125321139</v>
      </c>
      <c r="I1020" s="1100">
        <v>0.99232267640533611</v>
      </c>
      <c r="K1020">
        <v>1.1657502407949645</v>
      </c>
      <c r="L1020">
        <v>0</v>
      </c>
      <c r="M1020">
        <v>7.3591629904844939E-4</v>
      </c>
      <c r="N1020">
        <v>7.4034979727548633E-2</v>
      </c>
      <c r="O1020">
        <v>1.0436620759877564E-2</v>
      </c>
      <c r="P1020">
        <v>1.4061832634324799E-2</v>
      </c>
      <c r="Q1020">
        <v>4.6674813566745639E-4</v>
      </c>
      <c r="R1020">
        <v>7.3423600885392224E-4</v>
      </c>
      <c r="S1020">
        <v>7.1449632702738713E-2</v>
      </c>
      <c r="T1020">
        <v>0.84568673517614723</v>
      </c>
      <c r="U1020">
        <v>0</v>
      </c>
      <c r="V1020">
        <v>9.2064711117043466E-2</v>
      </c>
      <c r="W1020">
        <v>4.7798542370245521E-2</v>
      </c>
      <c r="X1020">
        <v>7.7537700863004235E-3</v>
      </c>
      <c r="Y1020">
        <v>1.9983483752651077E-3</v>
      </c>
    </row>
    <row r="1021" spans="1:25" x14ac:dyDescent="0.25">
      <c r="A1021" s="1096"/>
      <c r="B1021" s="1455">
        <v>771</v>
      </c>
      <c r="C1021" s="1100">
        <v>1.0046880834999585</v>
      </c>
      <c r="D1021" s="1100">
        <v>1.0079720180492913</v>
      </c>
      <c r="E1021" s="1100">
        <v>0.99593283553945344</v>
      </c>
      <c r="F1021" s="1100">
        <v>0.98445591756870532</v>
      </c>
      <c r="G1021" s="1100">
        <v>0.95775060027546455</v>
      </c>
      <c r="H1021" s="1100">
        <v>0.97204756442034501</v>
      </c>
      <c r="I1021" s="1100">
        <v>0.99719846627367215</v>
      </c>
      <c r="K1021">
        <v>1.126568063342487</v>
      </c>
      <c r="L1021">
        <v>0</v>
      </c>
      <c r="M1021">
        <v>7.7883848329352132E-4</v>
      </c>
      <c r="N1021">
        <v>7.0790133553667769E-2</v>
      </c>
      <c r="O1021">
        <v>1.0266983378083164E-2</v>
      </c>
      <c r="P1021">
        <v>1.3267133967528736E-2</v>
      </c>
      <c r="Q1021">
        <v>4.4400418568255837E-4</v>
      </c>
      <c r="R1021">
        <v>7.7706394463958252E-4</v>
      </c>
      <c r="S1021">
        <v>7.0898416428672922E-2</v>
      </c>
      <c r="T1021">
        <v>0.81503368734505366</v>
      </c>
      <c r="U1021">
        <v>0</v>
      </c>
      <c r="V1021">
        <v>9.0173023608074332E-2</v>
      </c>
      <c r="W1021">
        <v>4.6617037482722855E-2</v>
      </c>
      <c r="X1021">
        <v>6.964506033406947E-3</v>
      </c>
      <c r="Y1021">
        <v>2.1149118982484376E-3</v>
      </c>
    </row>
    <row r="1022" spans="1:25" x14ac:dyDescent="0.25">
      <c r="A1022" s="1096"/>
      <c r="B1022" s="1455">
        <v>772</v>
      </c>
      <c r="C1022" s="1100">
        <v>1.0051649709111441</v>
      </c>
      <c r="D1022" s="1100">
        <v>0.97130084720629062</v>
      </c>
      <c r="E1022" s="1100">
        <v>1.0072225902358787</v>
      </c>
      <c r="F1022" s="1100">
        <v>0.98831696586451179</v>
      </c>
      <c r="G1022" s="1100">
        <v>1.0110741775991425</v>
      </c>
      <c r="H1022" s="1100">
        <v>0.98633021918772457</v>
      </c>
      <c r="I1022" s="1100">
        <v>1.0066426902408068</v>
      </c>
      <c r="K1022">
        <v>1.139003906996418</v>
      </c>
      <c r="L1022">
        <v>0</v>
      </c>
      <c r="M1022">
        <v>7.8314296432148965E-4</v>
      </c>
      <c r="N1022">
        <v>7.3653312024469453E-2</v>
      </c>
      <c r="O1022">
        <v>1.041908882187521E-2</v>
      </c>
      <c r="P1022">
        <v>1.3480069866161785E-2</v>
      </c>
      <c r="Q1022">
        <v>4.5572004237478213E-4</v>
      </c>
      <c r="R1022">
        <v>7.813844565609146E-4</v>
      </c>
      <c r="S1022">
        <v>7.3517561373335469E-2</v>
      </c>
      <c r="T1022">
        <v>0.81749212676096472</v>
      </c>
      <c r="U1022">
        <v>0</v>
      </c>
      <c r="V1022">
        <v>9.2442814169791387E-2</v>
      </c>
      <c r="W1022">
        <v>4.8178548712316374E-2</v>
      </c>
      <c r="X1022">
        <v>7.2397528254457659E-3</v>
      </c>
      <c r="Y1022">
        <v>2.1266709074419313E-3</v>
      </c>
    </row>
    <row r="1023" spans="1:25" x14ac:dyDescent="0.25">
      <c r="A1023" s="1096"/>
      <c r="B1023" s="1455">
        <v>773</v>
      </c>
      <c r="C1023" s="1100">
        <v>1.0418939319794289</v>
      </c>
      <c r="D1023" s="1100">
        <v>0.99223114908786947</v>
      </c>
      <c r="E1023" s="1100">
        <v>0.98654035492450032</v>
      </c>
      <c r="F1023" s="1100">
        <v>1.0186937777031015</v>
      </c>
      <c r="G1023" s="1100">
        <v>0.99440560292245694</v>
      </c>
      <c r="H1023" s="1100">
        <v>1.0168362282751928</v>
      </c>
      <c r="I1023" s="1100">
        <v>0.97005125790029356</v>
      </c>
      <c r="K1023">
        <v>1.1550057211374041</v>
      </c>
      <c r="L1023">
        <v>0</v>
      </c>
      <c r="M1023">
        <v>8.0612542185930745E-4</v>
      </c>
      <c r="N1023">
        <v>7.122621129993692E-2</v>
      </c>
      <c r="O1023">
        <v>9.9599231897851675E-3</v>
      </c>
      <c r="P1023">
        <v>1.354479868905006E-2</v>
      </c>
      <c r="Q1023">
        <v>4.2665810448062679E-4</v>
      </c>
      <c r="R1023">
        <v>8.0436961321009325E-4</v>
      </c>
      <c r="S1023">
        <v>6.8738189811102038E-2</v>
      </c>
      <c r="T1023">
        <v>0.84401546939463801</v>
      </c>
      <c r="U1023">
        <v>0</v>
      </c>
      <c r="V1023">
        <v>9.0858214571675616E-2</v>
      </c>
      <c r="W1023">
        <v>4.7168604889494162E-2</v>
      </c>
      <c r="X1023">
        <v>6.8801780691034892E-3</v>
      </c>
      <c r="Y1023">
        <v>2.1892289267861427E-3</v>
      </c>
    </row>
    <row r="1024" spans="1:25" x14ac:dyDescent="0.25">
      <c r="A1024" s="1096"/>
      <c r="B1024" s="1455">
        <v>774</v>
      </c>
      <c r="C1024" s="1100">
        <v>1.0095963844932012</v>
      </c>
      <c r="D1024" s="1100">
        <v>1.0060291904446337</v>
      </c>
      <c r="E1024" s="1100">
        <v>0.98201758034750353</v>
      </c>
      <c r="F1024" s="1100">
        <v>1.0018820286124488</v>
      </c>
      <c r="G1024" s="1100">
        <v>1.0327137607698713</v>
      </c>
      <c r="H1024" s="1100">
        <v>0.99967320379322722</v>
      </c>
      <c r="I1024" s="1100">
        <v>0.99018881890006394</v>
      </c>
      <c r="K1024">
        <v>1.1470017149410867</v>
      </c>
      <c r="L1024">
        <v>0</v>
      </c>
      <c r="M1024">
        <v>8.2101413328422362E-4</v>
      </c>
      <c r="N1024">
        <v>7.1553421203572928E-2</v>
      </c>
      <c r="O1024">
        <v>1.0220464336880539E-2</v>
      </c>
      <c r="P1024">
        <v>1.3380804760370131E-2</v>
      </c>
      <c r="Q1024">
        <v>4.3581578564908039E-4</v>
      </c>
      <c r="R1024">
        <v>8.19195194177886E-4</v>
      </c>
      <c r="S1024">
        <v>7.1211052299802374E-2</v>
      </c>
      <c r="T1024">
        <v>0.8303887772608971</v>
      </c>
      <c r="U1024">
        <v>0</v>
      </c>
      <c r="V1024">
        <v>9.3256618641066782E-2</v>
      </c>
      <c r="W1024">
        <v>4.7514440244280906E-2</v>
      </c>
      <c r="X1024">
        <v>6.8125600767439563E-3</v>
      </c>
      <c r="Y1024">
        <v>2.2295792709290212E-3</v>
      </c>
    </row>
    <row r="1025" spans="1:25" x14ac:dyDescent="0.25">
      <c r="A1025" s="1096"/>
      <c r="B1025" s="1455">
        <v>775</v>
      </c>
      <c r="C1025" s="1100">
        <v>1.0044421566667463</v>
      </c>
      <c r="D1025" s="1100">
        <v>0.95813616735749385</v>
      </c>
      <c r="E1025" s="1100">
        <v>1.0036747694671917</v>
      </c>
      <c r="F1025" s="1100">
        <v>1.0329607156769969</v>
      </c>
      <c r="G1025" s="1100">
        <v>0.95678880379035103</v>
      </c>
      <c r="H1025" s="1100">
        <v>0.98283954406291518</v>
      </c>
      <c r="I1025" s="1100">
        <v>1.0076762329863511</v>
      </c>
      <c r="K1025">
        <v>1.1750333521998066</v>
      </c>
      <c r="L1025">
        <v>0</v>
      </c>
      <c r="M1025">
        <v>7.9101212804095437E-4</v>
      </c>
      <c r="N1025">
        <v>7.3599976866657202E-2</v>
      </c>
      <c r="O1025">
        <v>1.0482479118182146E-2</v>
      </c>
      <c r="P1025">
        <v>1.3927930048322611E-2</v>
      </c>
      <c r="Q1025">
        <v>4.5686540695942789E-4</v>
      </c>
      <c r="R1025">
        <v>7.8922964216045059E-4</v>
      </c>
      <c r="S1025">
        <v>7.4016395640558605E-2</v>
      </c>
      <c r="T1025">
        <v>0.85466144172712388</v>
      </c>
      <c r="U1025">
        <v>0</v>
      </c>
      <c r="V1025">
        <v>9.0139297816752117E-2</v>
      </c>
      <c r="W1025">
        <v>4.8244848694870078E-2</v>
      </c>
      <c r="X1025">
        <v>7.3578764497821848E-3</v>
      </c>
      <c r="Y1025">
        <v>2.1480229164791312E-3</v>
      </c>
    </row>
    <row r="1026" spans="1:25" x14ac:dyDescent="0.25">
      <c r="A1026" s="1096"/>
      <c r="B1026" s="1455">
        <v>776</v>
      </c>
      <c r="C1026" s="1100">
        <v>0.99540144734714819</v>
      </c>
      <c r="D1026" s="1100">
        <v>1.0174760075467388</v>
      </c>
      <c r="E1026" s="1100">
        <v>1.0245721464309274</v>
      </c>
      <c r="F1026" s="1100">
        <v>0.97985751253302611</v>
      </c>
      <c r="G1026" s="1100">
        <v>1.0239487264351403</v>
      </c>
      <c r="H1026" s="1100">
        <v>1.0218098375410496</v>
      </c>
      <c r="I1026" s="1100">
        <v>1.0081498659041737</v>
      </c>
      <c r="K1026">
        <v>1.1373242375680812</v>
      </c>
      <c r="L1026">
        <v>0</v>
      </c>
      <c r="M1026">
        <v>7.7569689690101026E-4</v>
      </c>
      <c r="N1026">
        <v>7.6880283637071514E-2</v>
      </c>
      <c r="O1026">
        <v>1.0333308759777038E-2</v>
      </c>
      <c r="P1026">
        <v>1.3559436254970475E-2</v>
      </c>
      <c r="Q1026">
        <v>4.5984924187536665E-4</v>
      </c>
      <c r="R1026">
        <v>7.7401558784422552E-4</v>
      </c>
      <c r="S1026">
        <v>7.40674666004945E-2</v>
      </c>
      <c r="T1026">
        <v>0.80937811095080126</v>
      </c>
      <c r="U1026">
        <v>0</v>
      </c>
      <c r="V1026">
        <v>9.3237625759334419E-2</v>
      </c>
      <c r="W1026">
        <v>4.9779880482037638E-2</v>
      </c>
      <c r="X1026">
        <v>7.5233419148325433E-3</v>
      </c>
      <c r="Y1026">
        <v>2.1066152759420228E-3</v>
      </c>
    </row>
    <row r="1027" spans="1:25" x14ac:dyDescent="0.25">
      <c r="A1027" s="1096"/>
      <c r="B1027" s="1455">
        <v>777</v>
      </c>
      <c r="C1027" s="1100">
        <v>0.97196643560133578</v>
      </c>
      <c r="D1027" s="1100">
        <v>1.0401960009356721</v>
      </c>
      <c r="E1027" s="1100">
        <v>0.99055410212278294</v>
      </c>
      <c r="F1027" s="1100">
        <v>1.0046799985717616</v>
      </c>
      <c r="G1027" s="1100">
        <v>1.0230062559919715</v>
      </c>
      <c r="H1027" s="1100">
        <v>1.0162958148617616</v>
      </c>
      <c r="I1027" s="1100">
        <v>0.99054035752055558</v>
      </c>
      <c r="K1027">
        <v>1.1579686372244915</v>
      </c>
      <c r="L1027">
        <v>0</v>
      </c>
      <c r="M1027">
        <v>8.4049223533138912E-4</v>
      </c>
      <c r="N1027">
        <v>7.5169435420761502E-2</v>
      </c>
      <c r="O1027">
        <v>1.0478095397251322E-2</v>
      </c>
      <c r="P1027">
        <v>1.352838882375507E-2</v>
      </c>
      <c r="Q1027">
        <v>4.5068146205698884E-4</v>
      </c>
      <c r="R1027">
        <v>8.3866059943424386E-4</v>
      </c>
      <c r="S1027">
        <v>7.3426222063499066E-2</v>
      </c>
      <c r="T1027">
        <v>0.83213620466180216</v>
      </c>
      <c r="U1027">
        <v>0</v>
      </c>
      <c r="V1027">
        <v>9.3792709607944197E-2</v>
      </c>
      <c r="W1027">
        <v>4.9660263833563749E-2</v>
      </c>
      <c r="X1027">
        <v>7.0459099024865919E-3</v>
      </c>
      <c r="Y1027">
        <v>2.2825576872677099E-3</v>
      </c>
    </row>
    <row r="1028" spans="1:25" x14ac:dyDescent="0.25">
      <c r="A1028" s="1096"/>
      <c r="B1028" s="1455">
        <v>778</v>
      </c>
      <c r="C1028" s="1100">
        <v>1.0120454687895304</v>
      </c>
      <c r="D1028" s="1100">
        <v>1.0151585429116996</v>
      </c>
      <c r="E1028" s="1100">
        <v>0.99461691766695592</v>
      </c>
      <c r="F1028" s="1100">
        <v>0.97721871585622633</v>
      </c>
      <c r="G1028" s="1100">
        <v>0.99764061585098995</v>
      </c>
      <c r="H1028" s="1100">
        <v>0.99668685214432662</v>
      </c>
      <c r="I1028" s="1100">
        <v>1.0007024627130201</v>
      </c>
      <c r="K1028">
        <v>1.1241102750910688</v>
      </c>
      <c r="L1028">
        <v>0</v>
      </c>
      <c r="M1028">
        <v>7.9268432105821613E-4</v>
      </c>
      <c r="N1028">
        <v>7.176668780744043E-2</v>
      </c>
      <c r="O1028">
        <v>1.0162998539599335E-2</v>
      </c>
      <c r="P1028">
        <v>1.3200816289004864E-2</v>
      </c>
      <c r="Q1028">
        <v>4.389247874658442E-4</v>
      </c>
      <c r="R1028">
        <v>7.9092288404999337E-4</v>
      </c>
      <c r="S1028">
        <v>7.1356108363784698E-2</v>
      </c>
      <c r="T1028">
        <v>0.80912732077498339</v>
      </c>
      <c r="U1028">
        <v>0</v>
      </c>
      <c r="V1028">
        <v>9.1699054438730235E-2</v>
      </c>
      <c r="W1028">
        <v>4.7297237756069255E-2</v>
      </c>
      <c r="X1028">
        <v>6.9102564082737673E-3</v>
      </c>
      <c r="Y1028">
        <v>2.1526313627254273E-3</v>
      </c>
    </row>
    <row r="1029" spans="1:25" x14ac:dyDescent="0.25">
      <c r="A1029" s="1096"/>
      <c r="B1029" s="1455">
        <v>779</v>
      </c>
      <c r="C1029" s="1100">
        <v>1.0422923340129808</v>
      </c>
      <c r="D1029" s="1100">
        <v>0.98834724416904685</v>
      </c>
      <c r="E1029" s="1100">
        <v>1.0336618440381007</v>
      </c>
      <c r="F1029" s="1100">
        <v>1.0187103240010311</v>
      </c>
      <c r="G1029" s="1100">
        <v>1.0139326749377662</v>
      </c>
      <c r="H1029" s="1100">
        <v>1.0056582315185301</v>
      </c>
      <c r="I1029" s="1100">
        <v>1.0350994411162127</v>
      </c>
      <c r="K1029">
        <v>1.1610048806930322</v>
      </c>
      <c r="L1029">
        <v>0</v>
      </c>
      <c r="M1029">
        <v>7.2377254397468986E-4</v>
      </c>
      <c r="N1029">
        <v>7.3724356536381597E-2</v>
      </c>
      <c r="O1029">
        <v>9.9866368340247279E-3</v>
      </c>
      <c r="P1029">
        <v>1.4053808956405997E-2</v>
      </c>
      <c r="Q1029">
        <v>4.4843572105351221E-4</v>
      </c>
      <c r="R1029">
        <v>7.2217858452249385E-4</v>
      </c>
      <c r="S1029">
        <v>7.3068956815359035E-2</v>
      </c>
      <c r="T1029">
        <v>0.84086685743176881</v>
      </c>
      <c r="U1029">
        <v>0</v>
      </c>
      <c r="V1029">
        <v>9.1690369273714323E-2</v>
      </c>
      <c r="W1029">
        <v>4.7485036917060963E-2</v>
      </c>
      <c r="X1029">
        <v>7.7164841257508715E-3</v>
      </c>
      <c r="Y1029">
        <v>1.965532040963822E-3</v>
      </c>
    </row>
    <row r="1030" spans="1:25" x14ac:dyDescent="0.25">
      <c r="A1030" s="1096"/>
      <c r="B1030" s="1455">
        <v>780</v>
      </c>
      <c r="C1030" s="1100">
        <v>0.97894844284836213</v>
      </c>
      <c r="D1030" s="1100">
        <v>1.0387332204694173</v>
      </c>
      <c r="E1030" s="1100">
        <v>1.0296040748958657</v>
      </c>
      <c r="F1030" s="1100">
        <v>0.99310708110392143</v>
      </c>
      <c r="G1030" s="1100">
        <v>1.009320182184019</v>
      </c>
      <c r="H1030" s="1100">
        <v>1.0049380482414039</v>
      </c>
      <c r="I1030" s="1100">
        <v>0.99243196766206621</v>
      </c>
      <c r="K1030">
        <v>1.1461248352150686</v>
      </c>
      <c r="L1030">
        <v>0</v>
      </c>
      <c r="M1030">
        <v>7.6130027102784656E-4</v>
      </c>
      <c r="N1030">
        <v>7.6604157057809291E-2</v>
      </c>
      <c r="O1030">
        <v>1.0422100404084056E-2</v>
      </c>
      <c r="P1030">
        <v>1.3734963123956388E-2</v>
      </c>
      <c r="Q1030">
        <v>4.6611750410540574E-4</v>
      </c>
      <c r="R1030">
        <v>7.5962246298159387E-4</v>
      </c>
      <c r="S1030">
        <v>7.2678841132351554E-2</v>
      </c>
      <c r="T1030">
        <v>0.81999601406498901</v>
      </c>
      <c r="U1030">
        <v>0</v>
      </c>
      <c r="V1030">
        <v>9.3031922312887705E-2</v>
      </c>
      <c r="W1030">
        <v>4.9456089207395616E-2</v>
      </c>
      <c r="X1030">
        <v>7.6688662807773414E-3</v>
      </c>
      <c r="Y1030">
        <v>2.0674419347582753E-3</v>
      </c>
    </row>
    <row r="1031" spans="1:25" x14ac:dyDescent="0.25">
      <c r="A1031" s="1096"/>
      <c r="B1031" s="1455">
        <v>781</v>
      </c>
      <c r="C1031" s="1100">
        <v>1.014916884688644</v>
      </c>
      <c r="D1031" s="1100">
        <v>0.98392245751049434</v>
      </c>
      <c r="E1031" s="1100">
        <v>0.96861507849001793</v>
      </c>
      <c r="F1031" s="1100">
        <v>0.97260794354806746</v>
      </c>
      <c r="G1031" s="1100">
        <v>0.96791010137403943</v>
      </c>
      <c r="H1031" s="1100">
        <v>0.98530270339725856</v>
      </c>
      <c r="I1031" s="1100">
        <v>1.0097878936206943</v>
      </c>
      <c r="K1031">
        <v>1.1188063141832643</v>
      </c>
      <c r="L1031">
        <v>0</v>
      </c>
      <c r="M1031">
        <v>8.3496105922508171E-4</v>
      </c>
      <c r="N1031">
        <v>6.9873838282148465E-2</v>
      </c>
      <c r="O1031">
        <v>1.0253315748973176E-2</v>
      </c>
      <c r="P1031">
        <v>1.291129695601877E-2</v>
      </c>
      <c r="Q1031">
        <v>4.3128575536807278E-4</v>
      </c>
      <c r="R1031">
        <v>8.3308424137662658E-4</v>
      </c>
      <c r="S1031">
        <v>7.2467879144680253E-2</v>
      </c>
      <c r="T1031">
        <v>0.80699898517097568</v>
      </c>
      <c r="U1031">
        <v>0</v>
      </c>
      <c r="V1031">
        <v>9.0354700618994643E-2</v>
      </c>
      <c r="W1031">
        <v>4.6777558109766623E-2</v>
      </c>
      <c r="X1031">
        <v>6.4719505353067891E-3</v>
      </c>
      <c r="Y1031">
        <v>2.2673806788808147E-3</v>
      </c>
    </row>
    <row r="1032" spans="1:25" x14ac:dyDescent="0.25">
      <c r="A1032" s="1096"/>
      <c r="B1032" s="1455">
        <v>782</v>
      </c>
      <c r="C1032" s="1100">
        <v>1.0418267240545891</v>
      </c>
      <c r="D1032" s="1100">
        <v>0.98801864797234062</v>
      </c>
      <c r="E1032" s="1100">
        <v>1.0155103094583484</v>
      </c>
      <c r="F1032" s="1100">
        <v>1.0217910460753477</v>
      </c>
      <c r="G1032" s="1100">
        <v>1.0101609080853253</v>
      </c>
      <c r="H1032" s="1100">
        <v>1.0003554390664438</v>
      </c>
      <c r="I1032" s="1100">
        <v>0.99734874926147288</v>
      </c>
      <c r="K1032">
        <v>1.1592160669868583</v>
      </c>
      <c r="L1032">
        <v>0</v>
      </c>
      <c r="M1032">
        <v>7.4811990062338826E-4</v>
      </c>
      <c r="N1032">
        <v>7.2144190212033679E-2</v>
      </c>
      <c r="O1032">
        <v>9.9866776355499801E-3</v>
      </c>
      <c r="P1032">
        <v>1.3878980167724524E-2</v>
      </c>
      <c r="Q1032">
        <v>4.4043794044564655E-4</v>
      </c>
      <c r="R1032">
        <v>7.4646358748212452E-4</v>
      </c>
      <c r="S1032">
        <v>7.0219314198989066E-2</v>
      </c>
      <c r="T1032">
        <v>0.84462288264389329</v>
      </c>
      <c r="U1032">
        <v>0</v>
      </c>
      <c r="V1032">
        <v>9.153717185022911E-2</v>
      </c>
      <c r="W1032">
        <v>4.6961574243761045E-2</v>
      </c>
      <c r="X1032">
        <v>7.3948665939027316E-3</v>
      </c>
      <c r="Y1032">
        <v>2.0316278134708625E-3</v>
      </c>
    </row>
    <row r="1033" spans="1:25" x14ac:dyDescent="0.25">
      <c r="A1033" s="1096"/>
      <c r="B1033" s="1455">
        <v>783</v>
      </c>
      <c r="C1033" s="1100">
        <v>0.96859070563223348</v>
      </c>
      <c r="D1033" s="1100">
        <v>0.99322826742311598</v>
      </c>
      <c r="E1033" s="1100">
        <v>0.98717914869469436</v>
      </c>
      <c r="F1033" s="1100">
        <v>1.0091064954341147</v>
      </c>
      <c r="G1033" s="1100">
        <v>0.96883048358875334</v>
      </c>
      <c r="H1033" s="1100">
        <v>0.99924481146287558</v>
      </c>
      <c r="I1033" s="1100">
        <v>0.99173269254347252</v>
      </c>
      <c r="K1033">
        <v>1.1616244131482656</v>
      </c>
      <c r="L1033">
        <v>0</v>
      </c>
      <c r="M1033">
        <v>8.5066380315825061E-4</v>
      </c>
      <c r="N1033">
        <v>7.5303898391237828E-2</v>
      </c>
      <c r="O1033">
        <v>1.0709605507460005E-2</v>
      </c>
      <c r="P1033">
        <v>1.3535280403323991E-2</v>
      </c>
      <c r="Q1033">
        <v>4.5906944175342815E-4</v>
      </c>
      <c r="R1033">
        <v>8.4877836787767549E-4</v>
      </c>
      <c r="S1033">
        <v>7.4820195165569675E-2</v>
      </c>
      <c r="T1033">
        <v>0.83602919504850004</v>
      </c>
      <c r="U1033">
        <v>0</v>
      </c>
      <c r="V1033">
        <v>9.1564451457257265E-2</v>
      </c>
      <c r="W1033">
        <v>4.9849871078506802E-2</v>
      </c>
      <c r="X1033">
        <v>7.0446371722870417E-3</v>
      </c>
      <c r="Y1033">
        <v>2.310094917649259E-3</v>
      </c>
    </row>
    <row r="1034" spans="1:25" x14ac:dyDescent="0.25">
      <c r="A1034" s="1096"/>
      <c r="B1034" s="1455">
        <v>784</v>
      </c>
      <c r="C1034" s="1100">
        <v>1.0064713554593363</v>
      </c>
      <c r="D1034" s="1100">
        <v>1.0009785828909044</v>
      </c>
      <c r="E1034" s="1100">
        <v>0.99561675317975862</v>
      </c>
      <c r="F1034" s="1100">
        <v>1.0282869366060814</v>
      </c>
      <c r="G1034" s="1100">
        <v>1.0111816023548759</v>
      </c>
      <c r="H1034" s="1100">
        <v>1.0079518391896987</v>
      </c>
      <c r="I1034" s="1100">
        <v>0.99230922175210334</v>
      </c>
      <c r="K1034">
        <v>1.1716099738087178</v>
      </c>
      <c r="L1034">
        <v>0</v>
      </c>
      <c r="M1034">
        <v>8.0895345548450098E-4</v>
      </c>
      <c r="N1034">
        <v>7.346311354364253E-2</v>
      </c>
      <c r="O1034">
        <v>1.0277271463298942E-2</v>
      </c>
      <c r="P1034">
        <v>1.3804355032936784E-2</v>
      </c>
      <c r="Q1034">
        <v>4.4430758406501002E-4</v>
      </c>
      <c r="R1034">
        <v>8.0717595662516757E-4</v>
      </c>
      <c r="S1034">
        <v>7.2117911618556296E-2</v>
      </c>
      <c r="T1034">
        <v>0.851343067808916</v>
      </c>
      <c r="U1034">
        <v>0</v>
      </c>
      <c r="V1034">
        <v>9.2413767469546951E-2</v>
      </c>
      <c r="W1034">
        <v>4.838637979094363E-2</v>
      </c>
      <c r="X1034">
        <v>7.1647101272208896E-3</v>
      </c>
      <c r="Y1034">
        <v>2.1968668684511166E-3</v>
      </c>
    </row>
    <row r="1035" spans="1:25" x14ac:dyDescent="0.25">
      <c r="A1035" s="1096"/>
      <c r="B1035" s="1455">
        <v>785</v>
      </c>
      <c r="C1035" s="1100">
        <v>1.0026206190813229</v>
      </c>
      <c r="D1035" s="1100">
        <v>1.0029975066793531</v>
      </c>
      <c r="E1035" s="1100">
        <v>0.99974133831330581</v>
      </c>
      <c r="F1035" s="1100">
        <v>0.99088627603538182</v>
      </c>
      <c r="G1035" s="1100">
        <v>0.9828864203185611</v>
      </c>
      <c r="H1035" s="1100">
        <v>0.99830827463766669</v>
      </c>
      <c r="I1035" s="1100">
        <v>0.99536181505863786</v>
      </c>
      <c r="K1035">
        <v>1.1383822501451883</v>
      </c>
      <c r="L1035">
        <v>0</v>
      </c>
      <c r="M1035">
        <v>7.9679913095358603E-4</v>
      </c>
      <c r="N1035">
        <v>7.3265275809992897E-2</v>
      </c>
      <c r="O1035">
        <v>1.0309775824005002E-2</v>
      </c>
      <c r="P1035">
        <v>1.3406694091662298E-2</v>
      </c>
      <c r="Q1035">
        <v>4.4756693868653415E-4</v>
      </c>
      <c r="R1035">
        <v>7.9503142608202564E-4</v>
      </c>
      <c r="S1035">
        <v>7.2158404340442558E-2</v>
      </c>
      <c r="T1035">
        <v>0.82010729092718393</v>
      </c>
      <c r="U1035">
        <v>0</v>
      </c>
      <c r="V1035">
        <v>9.1299190236842562E-2</v>
      </c>
      <c r="W1035">
        <v>4.8137706303814976E-2</v>
      </c>
      <c r="X1035">
        <v>7.0882999176723046E-3</v>
      </c>
      <c r="Y1035">
        <v>2.1638134597561022E-3</v>
      </c>
    </row>
    <row r="1036" spans="1:25" x14ac:dyDescent="0.25">
      <c r="A1036" s="1096"/>
      <c r="B1036" s="1455">
        <v>786</v>
      </c>
      <c r="C1036" s="1100">
        <v>1.0131638104572407</v>
      </c>
      <c r="D1036" s="1100">
        <v>1.0073051965231632</v>
      </c>
      <c r="E1036" s="1100">
        <v>1.044270387800784</v>
      </c>
      <c r="F1036" s="1100">
        <v>0.96289218386104147</v>
      </c>
      <c r="G1036" s="1100">
        <v>1.0233927714971374</v>
      </c>
      <c r="H1036" s="1100">
        <v>0.95294781013020713</v>
      </c>
      <c r="I1036" s="1100">
        <v>0.99965390655812492</v>
      </c>
      <c r="K1036">
        <v>1.1084945450213901</v>
      </c>
      <c r="L1036">
        <v>0</v>
      </c>
      <c r="M1036">
        <v>6.8488382266964363E-4</v>
      </c>
      <c r="N1036">
        <v>7.2019895646139878E-2</v>
      </c>
      <c r="O1036">
        <v>1.0199406358487213E-2</v>
      </c>
      <c r="P1036">
        <v>1.3472904952677205E-2</v>
      </c>
      <c r="Q1036">
        <v>4.6279500010162168E-4</v>
      </c>
      <c r="R1036">
        <v>6.8329207812694648E-4</v>
      </c>
      <c r="S1036">
        <v>6.9792566740260964E-2</v>
      </c>
      <c r="T1036">
        <v>0.79412991244741848</v>
      </c>
      <c r="U1036">
        <v>0</v>
      </c>
      <c r="V1036">
        <v>9.278028830468911E-2</v>
      </c>
      <c r="W1036">
        <v>4.6104425318618837E-2</v>
      </c>
      <c r="X1036">
        <v>7.674246208050569E-3</v>
      </c>
      <c r="Y1036">
        <v>1.8596957894885303E-3</v>
      </c>
    </row>
    <row r="1037" spans="1:25" x14ac:dyDescent="0.25">
      <c r="A1037" s="1096"/>
      <c r="B1037" s="1455">
        <v>787</v>
      </c>
      <c r="C1037" s="1100">
        <v>1.0309719946517801</v>
      </c>
      <c r="D1037" s="1100">
        <v>0.97592589247826755</v>
      </c>
      <c r="E1037" s="1100">
        <v>0.97796002477820798</v>
      </c>
      <c r="F1037" s="1100">
        <v>0.99991575096202856</v>
      </c>
      <c r="G1037" s="1100">
        <v>0.99265886660638902</v>
      </c>
      <c r="H1037" s="1100">
        <v>0.98336067086772905</v>
      </c>
      <c r="I1037" s="1100">
        <v>0.99784024447575359</v>
      </c>
      <c r="K1037">
        <v>1.1392841540353389</v>
      </c>
      <c r="L1037">
        <v>0</v>
      </c>
      <c r="M1037">
        <v>8.0728637505547696E-4</v>
      </c>
      <c r="N1037">
        <v>6.9495975015579581E-2</v>
      </c>
      <c r="O1037">
        <v>1.0129627069141821E-2</v>
      </c>
      <c r="P1037">
        <v>1.3285030463782755E-2</v>
      </c>
      <c r="Q1037">
        <v>4.3016463663304502E-4</v>
      </c>
      <c r="R1037">
        <v>8.0546818044628101E-4</v>
      </c>
      <c r="S1037">
        <v>7.0725496776612912E-2</v>
      </c>
      <c r="T1037">
        <v>0.82903030408973566</v>
      </c>
      <c r="U1037">
        <v>0</v>
      </c>
      <c r="V1037">
        <v>9.1034356275304401E-2</v>
      </c>
      <c r="W1037">
        <v>4.6261415582874797E-2</v>
      </c>
      <c r="X1037">
        <v>6.7013834556225163E-3</v>
      </c>
      <c r="Y1037">
        <v>2.1922188646604532E-3</v>
      </c>
    </row>
    <row r="1038" spans="1:25" x14ac:dyDescent="0.25">
      <c r="A1038" s="1096"/>
      <c r="B1038" s="1455">
        <v>788</v>
      </c>
      <c r="C1038" s="1100">
        <v>1.0206185643415377</v>
      </c>
      <c r="D1038" s="1100">
        <v>0.99840672265698149</v>
      </c>
      <c r="E1038" s="1100">
        <v>1.0169060959528704</v>
      </c>
      <c r="F1038" s="1100">
        <v>0.97492064272088741</v>
      </c>
      <c r="G1038" s="1100">
        <v>0.95443734825322402</v>
      </c>
      <c r="H1038" s="1100">
        <v>0.99895912275259047</v>
      </c>
      <c r="I1038" s="1100">
        <v>1.01131187730566</v>
      </c>
      <c r="K1038">
        <v>1.1219915286679722</v>
      </c>
      <c r="L1038">
        <v>0</v>
      </c>
      <c r="M1038">
        <v>7.5721487457658377E-4</v>
      </c>
      <c r="N1038">
        <v>7.3329238492016474E-2</v>
      </c>
      <c r="O1038">
        <v>1.0152086927020474E-2</v>
      </c>
      <c r="P1038">
        <v>1.3359070743907844E-2</v>
      </c>
      <c r="Q1038">
        <v>4.483559235301638E-4</v>
      </c>
      <c r="R1038">
        <v>7.5553608216630047E-4</v>
      </c>
      <c r="S1038">
        <v>7.2237948553589004E-2</v>
      </c>
      <c r="T1038">
        <v>0.80578995448301072</v>
      </c>
      <c r="U1038">
        <v>0</v>
      </c>
      <c r="V1038">
        <v>8.965004824996059E-2</v>
      </c>
      <c r="W1038">
        <v>4.7693890537848074E-2</v>
      </c>
      <c r="X1038">
        <v>7.2762933962441413E-3</v>
      </c>
      <c r="Y1038">
        <v>2.0563201532541207E-3</v>
      </c>
    </row>
    <row r="1039" spans="1:25" x14ac:dyDescent="0.25">
      <c r="A1039" s="1096"/>
      <c r="B1039" s="1455">
        <v>789</v>
      </c>
      <c r="C1039" s="1100">
        <v>1.0113858826468334</v>
      </c>
      <c r="D1039" s="1100">
        <v>0.99353056274479257</v>
      </c>
      <c r="E1039" s="1100">
        <v>1.0004832094550107</v>
      </c>
      <c r="F1039" s="1100">
        <v>0.98037325063423963</v>
      </c>
      <c r="G1039" s="1100">
        <v>0.99184349593841803</v>
      </c>
      <c r="H1039" s="1100">
        <v>1.0283463568618676</v>
      </c>
      <c r="I1039" s="1100">
        <v>0.98352725742128289</v>
      </c>
      <c r="K1039">
        <v>1.1328435285833625</v>
      </c>
      <c r="L1039">
        <v>0</v>
      </c>
      <c r="M1039">
        <v>8.1549716284606952E-4</v>
      </c>
      <c r="N1039">
        <v>7.5157685205637564E-2</v>
      </c>
      <c r="O1039">
        <v>1.0259509664902052E-2</v>
      </c>
      <c r="P1039">
        <v>1.3297963071114789E-2</v>
      </c>
      <c r="Q1039">
        <v>4.4571702194690549E-4</v>
      </c>
      <c r="R1039">
        <v>8.1374082274022878E-4</v>
      </c>
      <c r="S1039">
        <v>7.2219912727247815E-2</v>
      </c>
      <c r="T1039">
        <v>0.81135803387165062</v>
      </c>
      <c r="U1039">
        <v>0</v>
      </c>
      <c r="V1039">
        <v>9.146802644091305E-2</v>
      </c>
      <c r="W1039">
        <v>4.9359315034488448E-2</v>
      </c>
      <c r="X1039">
        <v>7.0643876156574062E-3</v>
      </c>
      <c r="Y1039">
        <v>2.2147342699087797E-3</v>
      </c>
    </row>
    <row r="1040" spans="1:25" x14ac:dyDescent="0.25">
      <c r="A1040" s="1096"/>
      <c r="B1040" s="1455">
        <v>790</v>
      </c>
      <c r="C1040" s="1100">
        <v>1.0202380457573657</v>
      </c>
      <c r="D1040" s="1100">
        <v>1.0196246320544509</v>
      </c>
      <c r="E1040" s="1100">
        <v>1.0119312238017963</v>
      </c>
      <c r="F1040" s="1100">
        <v>1.0168695007698654</v>
      </c>
      <c r="G1040" s="1100">
        <v>1.0050678610189454</v>
      </c>
      <c r="H1040" s="1100">
        <v>1.0364894011640418</v>
      </c>
      <c r="I1040" s="1100">
        <v>0.99801599770317551</v>
      </c>
      <c r="K1040">
        <v>1.1626149515836792</v>
      </c>
      <c r="L1040">
        <v>0</v>
      </c>
      <c r="M1040">
        <v>7.8747486900261892E-4</v>
      </c>
      <c r="N1040">
        <v>7.5129253101554147E-2</v>
      </c>
      <c r="O1040">
        <v>1.0069216962853142E-2</v>
      </c>
      <c r="P1040">
        <v>1.3818529328052732E-2</v>
      </c>
      <c r="Q1040">
        <v>4.4249540040369577E-4</v>
      </c>
      <c r="R1040">
        <v>7.8579220495604985E-4</v>
      </c>
      <c r="S1040">
        <v>7.2026025074737834E-2</v>
      </c>
      <c r="T1040">
        <v>0.84079401495885542</v>
      </c>
      <c r="U1040">
        <v>0</v>
      </c>
      <c r="V1040">
        <v>9.1822433500154621E-2</v>
      </c>
      <c r="W1040">
        <v>4.9007692287696261E-2</v>
      </c>
      <c r="X1040">
        <v>7.3683062878577461E-3</v>
      </c>
      <c r="Y1040">
        <v>2.1386673455596208E-3</v>
      </c>
    </row>
    <row r="1041" spans="1:25" x14ac:dyDescent="0.25">
      <c r="A1041" s="1096"/>
      <c r="B1041" s="1455">
        <v>791</v>
      </c>
      <c r="C1041" s="1100">
        <v>1.0028280774605443</v>
      </c>
      <c r="D1041" s="1100">
        <v>0.98745446280238058</v>
      </c>
      <c r="E1041" s="1100">
        <v>0.97170379461602197</v>
      </c>
      <c r="F1041" s="1100">
        <v>1.0323148255071728</v>
      </c>
      <c r="G1041" s="1100">
        <v>0.96843412404160045</v>
      </c>
      <c r="H1041" s="1100">
        <v>1.0102705310005808</v>
      </c>
      <c r="I1041" s="1100">
        <v>0.9947830469755623</v>
      </c>
      <c r="K1041">
        <v>1.174811132229528</v>
      </c>
      <c r="L1041">
        <v>0</v>
      </c>
      <c r="M1041">
        <v>8.5969891079625753E-4</v>
      </c>
      <c r="N1041">
        <v>7.2624061470928675E-2</v>
      </c>
      <c r="O1041">
        <v>1.0363062071681481E-2</v>
      </c>
      <c r="P1041">
        <v>1.3613188790835571E-2</v>
      </c>
      <c r="Q1041">
        <v>4.3728017369142546E-4</v>
      </c>
      <c r="R1041">
        <v>8.5781424534512197E-4</v>
      </c>
      <c r="S1041">
        <v>7.3134373564672811E-2</v>
      </c>
      <c r="T1041">
        <v>0.85632521816277907</v>
      </c>
      <c r="U1041">
        <v>0</v>
      </c>
      <c r="V1041">
        <v>9.0671775267949284E-2</v>
      </c>
      <c r="W1041">
        <v>4.852741465728292E-2</v>
      </c>
      <c r="X1041">
        <v>6.7819551377189067E-3</v>
      </c>
      <c r="Y1041">
        <v>2.3346875974394428E-3</v>
      </c>
    </row>
    <row r="1042" spans="1:25" x14ac:dyDescent="0.25">
      <c r="A1042" s="1096"/>
      <c r="B1042" s="1455">
        <v>792</v>
      </c>
      <c r="C1042" s="1100">
        <v>1.0325411538292402</v>
      </c>
      <c r="D1042" s="1100">
        <v>1.0026061007475737</v>
      </c>
      <c r="E1042" s="1100">
        <v>0.96072116118271655</v>
      </c>
      <c r="F1042" s="1100">
        <v>0.99261370176331365</v>
      </c>
      <c r="G1042" s="1100">
        <v>1.0211672805471417</v>
      </c>
      <c r="H1042" s="1100">
        <v>1.0004263821765473</v>
      </c>
      <c r="I1042" s="1100">
        <v>1.0030956556082511</v>
      </c>
      <c r="K1042">
        <v>1.1340328386705436</v>
      </c>
      <c r="L1042">
        <v>0</v>
      </c>
      <c r="M1042">
        <v>8.4063686556322067E-4</v>
      </c>
      <c r="N1042">
        <v>6.8688979631918362E-2</v>
      </c>
      <c r="O1042">
        <v>1.000027027116859E-2</v>
      </c>
      <c r="P1042">
        <v>1.3060275471831421E-2</v>
      </c>
      <c r="Q1042">
        <v>4.1725168645676539E-4</v>
      </c>
      <c r="R1042">
        <v>8.3877585484795506E-4</v>
      </c>
      <c r="S1042">
        <v>7.0665271530746254E-2</v>
      </c>
      <c r="T1042">
        <v>0.82412600948886605</v>
      </c>
      <c r="U1042">
        <v>0</v>
      </c>
      <c r="V1042">
        <v>9.2215384147388973E-2</v>
      </c>
      <c r="W1042">
        <v>4.6206752109162655E-2</v>
      </c>
      <c r="X1042">
        <v>6.3716339692079455E-3</v>
      </c>
      <c r="Y1042">
        <v>2.282871374509895E-3</v>
      </c>
    </row>
    <row r="1043" spans="1:25" x14ac:dyDescent="0.25">
      <c r="A1043" s="1096"/>
      <c r="B1043" s="1455">
        <v>793</v>
      </c>
      <c r="C1043" s="1100">
        <v>0.97369962069048266</v>
      </c>
      <c r="D1043" s="1100">
        <v>0.99543166652149728</v>
      </c>
      <c r="E1043" s="1100">
        <v>1.0020192135980812</v>
      </c>
      <c r="F1043" s="1100">
        <v>1.0201658284437574</v>
      </c>
      <c r="G1043" s="1100">
        <v>1.0245907796422116</v>
      </c>
      <c r="H1043" s="1100">
        <v>1.0214279547990694</v>
      </c>
      <c r="I1043" s="1100">
        <v>1.0260126000375238</v>
      </c>
      <c r="K1043">
        <v>1.1790264384506153</v>
      </c>
      <c r="L1043">
        <v>0</v>
      </c>
      <c r="M1043">
        <v>8.3804354514960331E-4</v>
      </c>
      <c r="N1043">
        <v>7.7593685299205878E-2</v>
      </c>
      <c r="O1043">
        <v>1.064896753257775E-2</v>
      </c>
      <c r="P1043">
        <v>1.3870873645352264E-2</v>
      </c>
      <c r="Q1043">
        <v>4.6335108796074072E-4</v>
      </c>
      <c r="R1043">
        <v>8.362264217387105E-4</v>
      </c>
      <c r="S1043">
        <v>7.7883830596691836E-2</v>
      </c>
      <c r="T1043">
        <v>0.84418673925122556</v>
      </c>
      <c r="U1043">
        <v>0</v>
      </c>
      <c r="V1043">
        <v>9.3816702952101649E-2</v>
      </c>
      <c r="W1043">
        <v>5.0912687717081531E-2</v>
      </c>
      <c r="X1043">
        <v>7.3754848338212593E-3</v>
      </c>
      <c r="Y1043">
        <v>2.2759326580069294E-3</v>
      </c>
    </row>
    <row r="1044" spans="1:25" x14ac:dyDescent="0.25">
      <c r="A1044" s="1096"/>
      <c r="B1044" s="1455">
        <v>794</v>
      </c>
      <c r="C1044" s="1100">
        <v>1.0269670955761716</v>
      </c>
      <c r="D1044" s="1100">
        <v>1.0068353152531959</v>
      </c>
      <c r="E1044" s="1100">
        <v>1.0193372562919845</v>
      </c>
      <c r="F1044" s="1100">
        <v>0.976145929049276</v>
      </c>
      <c r="G1044" s="1100">
        <v>1.007792113815785</v>
      </c>
      <c r="H1044" s="1100">
        <v>1.0143764278261445</v>
      </c>
      <c r="I1044" s="1100">
        <v>1.0029883310123229</v>
      </c>
      <c r="K1044">
        <v>1.1251579960735993</v>
      </c>
      <c r="L1044">
        <v>0</v>
      </c>
      <c r="M1044">
        <v>7.577412009089346E-4</v>
      </c>
      <c r="N1044">
        <v>7.3922949249012049E-2</v>
      </c>
      <c r="O1044">
        <v>1.0056233523034457E-2</v>
      </c>
      <c r="P1044">
        <v>1.3414187418051967E-2</v>
      </c>
      <c r="Q1044">
        <v>4.4519848389346339E-4</v>
      </c>
      <c r="R1044">
        <v>7.5608677496704821E-4</v>
      </c>
      <c r="S1044">
        <v>7.1507811894097204E-2</v>
      </c>
      <c r="T1044">
        <v>0.80664695490808958</v>
      </c>
      <c r="U1044">
        <v>0</v>
      </c>
      <c r="V1044">
        <v>9.1780770736603318E-2</v>
      </c>
      <c r="W1044">
        <v>4.8011605120203471E-2</v>
      </c>
      <c r="X1044">
        <v>7.3161202090328455E-3</v>
      </c>
      <c r="Y1044">
        <v>2.0578189575219236E-3</v>
      </c>
    </row>
    <row r="1045" spans="1:25" x14ac:dyDescent="0.25">
      <c r="A1045" s="1096"/>
      <c r="B1045" s="1455">
        <v>795</v>
      </c>
      <c r="C1045" s="1100">
        <v>0.96542086568383423</v>
      </c>
      <c r="D1045" s="1100">
        <v>1.0078770020457684</v>
      </c>
      <c r="E1045" s="1100">
        <v>1.0014360002521665</v>
      </c>
      <c r="F1045" s="1100">
        <v>1.0363382120535056</v>
      </c>
      <c r="G1045" s="1100">
        <v>1.0086975192931311</v>
      </c>
      <c r="H1045" s="1100">
        <v>1.0182148571456697</v>
      </c>
      <c r="I1045" s="1100">
        <v>0.96848320656625986</v>
      </c>
      <c r="K1045">
        <v>1.1878409907268048</v>
      </c>
      <c r="L1045">
        <v>0</v>
      </c>
      <c r="M1045">
        <v>8.3940914471667381E-4</v>
      </c>
      <c r="N1045">
        <v>7.7582786952723359E-2</v>
      </c>
      <c r="O1045">
        <v>1.0686841725852138E-2</v>
      </c>
      <c r="P1045">
        <v>1.3982436879659344E-2</v>
      </c>
      <c r="Q1045">
        <v>4.6472678770024623E-4</v>
      </c>
      <c r="R1045">
        <v>8.3758331679455926E-4</v>
      </c>
      <c r="S1045">
        <v>7.3545674203722378E-2</v>
      </c>
      <c r="T1045">
        <v>0.85760935976553132</v>
      </c>
      <c r="U1045">
        <v>0</v>
      </c>
      <c r="V1045">
        <v>9.3355409902161471E-2</v>
      </c>
      <c r="W1045">
        <v>5.092316121817328E-2</v>
      </c>
      <c r="X1045">
        <v>7.4127934401541926E-3</v>
      </c>
      <c r="Y1045">
        <v>2.2796256790486146E-3</v>
      </c>
    </row>
    <row r="1046" spans="1:25" x14ac:dyDescent="0.25">
      <c r="A1046" s="1096"/>
      <c r="B1046" s="1455">
        <v>796</v>
      </c>
      <c r="C1046" s="1100">
        <v>0.97188229804677795</v>
      </c>
      <c r="D1046" s="1100">
        <v>1.0071418566030428</v>
      </c>
      <c r="E1046" s="1100">
        <v>0.98222353386948713</v>
      </c>
      <c r="F1046" s="1100">
        <v>0.98252093453492695</v>
      </c>
      <c r="G1046" s="1100">
        <v>0.99870541450841577</v>
      </c>
      <c r="H1046" s="1100">
        <v>0.99215500285287583</v>
      </c>
      <c r="I1046" s="1100">
        <v>1.0100355268483308</v>
      </c>
      <c r="K1046">
        <v>1.1383111019852761</v>
      </c>
      <c r="L1046">
        <v>0</v>
      </c>
      <c r="M1046">
        <v>8.4572502929375706E-4</v>
      </c>
      <c r="N1046">
        <v>7.3751733596151975E-2</v>
      </c>
      <c r="O1046">
        <v>1.0612447107473623E-2</v>
      </c>
      <c r="P1046">
        <v>1.3212471536476575E-2</v>
      </c>
      <c r="Q1046">
        <v>4.526251401817596E-4</v>
      </c>
      <c r="R1046">
        <v>8.4383714560137834E-4</v>
      </c>
      <c r="S1046">
        <v>7.5097684704893322E-2</v>
      </c>
      <c r="T1046">
        <v>0.81432822912007197</v>
      </c>
      <c r="U1046">
        <v>0</v>
      </c>
      <c r="V1046">
        <v>9.275457085265329E-2</v>
      </c>
      <c r="W1046">
        <v>4.8968131068132074E-2</v>
      </c>
      <c r="X1046">
        <v>6.8384502034468221E-3</v>
      </c>
      <c r="Y1046">
        <v>2.2966465394866653E-3</v>
      </c>
    </row>
    <row r="1047" spans="1:25" x14ac:dyDescent="0.25">
      <c r="A1047" s="1096"/>
      <c r="B1047" s="1455">
        <v>797</v>
      </c>
      <c r="C1047" s="1100">
        <v>0.98904041327689585</v>
      </c>
      <c r="D1047" s="1100">
        <v>0.99630879535840067</v>
      </c>
      <c r="E1047" s="1100">
        <v>0.99371168918428598</v>
      </c>
      <c r="F1047" s="1100">
        <v>0.95774213611213321</v>
      </c>
      <c r="G1047" s="1100">
        <v>0.96561085470423913</v>
      </c>
      <c r="H1047" s="1100">
        <v>0.97763944165595951</v>
      </c>
      <c r="I1047" s="1100">
        <v>0.99969206844159342</v>
      </c>
      <c r="K1047">
        <v>1.1101188243663165</v>
      </c>
      <c r="L1047">
        <v>0</v>
      </c>
      <c r="M1047">
        <v>8.031135377013221E-4</v>
      </c>
      <c r="N1047">
        <v>7.2509094231541588E-2</v>
      </c>
      <c r="O1047">
        <v>1.0477348507324671E-2</v>
      </c>
      <c r="P1047">
        <v>1.2983437341080831E-2</v>
      </c>
      <c r="Q1047">
        <v>4.5208821196241177E-4</v>
      </c>
      <c r="R1047">
        <v>8.0129415605110642E-4</v>
      </c>
      <c r="S1047">
        <v>7.2861979711922889E-2</v>
      </c>
      <c r="T1047">
        <v>0.79305846932280788</v>
      </c>
      <c r="U1047">
        <v>0</v>
      </c>
      <c r="V1047">
        <v>9.0898950212004642E-2</v>
      </c>
      <c r="W1047">
        <v>4.7812350318072232E-2</v>
      </c>
      <c r="X1047">
        <v>6.8860673450263652E-3</v>
      </c>
      <c r="Y1047">
        <v>2.1808585462235607E-3</v>
      </c>
    </row>
    <row r="1048" spans="1:25" x14ac:dyDescent="0.25">
      <c r="A1048" s="1096"/>
      <c r="B1048" s="1455">
        <v>798</v>
      </c>
      <c r="C1048" s="1100">
        <v>0.98594666104225415</v>
      </c>
      <c r="D1048" s="1100">
        <v>0.96247561872812804</v>
      </c>
      <c r="E1048" s="1100">
        <v>1.0052957694571529</v>
      </c>
      <c r="F1048" s="1100">
        <v>0.98437573777769261</v>
      </c>
      <c r="G1048" s="1100">
        <v>0.9899097508179957</v>
      </c>
      <c r="H1048" s="1100">
        <v>0.99062628462237889</v>
      </c>
      <c r="I1048" s="1100">
        <v>1.0258582986921638</v>
      </c>
      <c r="K1048">
        <v>1.1423766418165953</v>
      </c>
      <c r="L1048">
        <v>0</v>
      </c>
      <c r="M1048">
        <v>8.0804504299064866E-4</v>
      </c>
      <c r="N1048">
        <v>7.555514178460862E-2</v>
      </c>
      <c r="O1048">
        <v>1.0660382619630994E-2</v>
      </c>
      <c r="P1048">
        <v>1.3458748509478697E-2</v>
      </c>
      <c r="Q1048">
        <v>4.6537488937456104E-4</v>
      </c>
      <c r="R1048">
        <v>8.0623848752002004E-4</v>
      </c>
      <c r="S1048">
        <v>7.692355745843199E-2</v>
      </c>
      <c r="T1048">
        <v>0.81435730402594719</v>
      </c>
      <c r="U1048">
        <v>0</v>
      </c>
      <c r="V1048">
        <v>9.2018391682475831E-2</v>
      </c>
      <c r="W1048">
        <v>4.9478936938686262E-2</v>
      </c>
      <c r="X1048">
        <v>7.2662950768475516E-3</v>
      </c>
      <c r="Y1048">
        <v>2.1943153865835127E-3</v>
      </c>
    </row>
    <row r="1049" spans="1:25" x14ac:dyDescent="0.25">
      <c r="A1049" s="1096"/>
      <c r="B1049" s="1455">
        <v>799</v>
      </c>
      <c r="C1049" s="1100">
        <v>0.99354690481862395</v>
      </c>
      <c r="D1049" s="1100">
        <v>0.97438518808517471</v>
      </c>
      <c r="E1049" s="1100">
        <v>0.99126638750618767</v>
      </c>
      <c r="F1049" s="1100">
        <v>1.0163122866480845</v>
      </c>
      <c r="G1049" s="1100">
        <v>1.0060714533142296</v>
      </c>
      <c r="H1049" s="1100">
        <v>0.96136245430974687</v>
      </c>
      <c r="I1049" s="1100">
        <v>1.01722043162586</v>
      </c>
      <c r="K1049">
        <v>1.1607085828688415</v>
      </c>
      <c r="L1049">
        <v>0</v>
      </c>
      <c r="M1049">
        <v>7.9721720412773514E-4</v>
      </c>
      <c r="N1049">
        <v>7.1443916673781263E-2</v>
      </c>
      <c r="O1049">
        <v>1.0522254835048291E-2</v>
      </c>
      <c r="P1049">
        <v>1.3655465170402422E-2</v>
      </c>
      <c r="Q1049">
        <v>4.5290662760368131E-4</v>
      </c>
      <c r="R1049">
        <v>7.9538060199927383E-4</v>
      </c>
      <c r="S1049">
        <v>7.3966201153406866E-2</v>
      </c>
      <c r="T1049">
        <v>0.84172262402305176</v>
      </c>
      <c r="U1049">
        <v>0</v>
      </c>
      <c r="V1049">
        <v>9.2514946592651678E-2</v>
      </c>
      <c r="W1049">
        <v>4.7178899727290377E-2</v>
      </c>
      <c r="X1049">
        <v>7.0884408662368874E-3</v>
      </c>
      <c r="Y1049">
        <v>2.1647638014970411E-3</v>
      </c>
    </row>
    <row r="1050" spans="1:25" x14ac:dyDescent="0.25">
      <c r="A1050" s="1096"/>
      <c r="B1050" s="1455">
        <v>800</v>
      </c>
      <c r="C1050" s="1100">
        <v>1.0146048162622321</v>
      </c>
      <c r="D1050" s="1100">
        <v>1.0184461278549417</v>
      </c>
      <c r="E1050" s="1100">
        <v>1.0041668586812811</v>
      </c>
      <c r="F1050" s="1100">
        <v>0.99934815688522483</v>
      </c>
      <c r="G1050" s="1100">
        <v>0.99758499437550974</v>
      </c>
      <c r="H1050" s="1100">
        <v>0.98706607181809258</v>
      </c>
      <c r="I1050" s="1100">
        <v>1.0151963316327848</v>
      </c>
      <c r="K1050">
        <v>1.1417652067197082</v>
      </c>
      <c r="L1050">
        <v>0</v>
      </c>
      <c r="M1050">
        <v>7.6670245466026166E-4</v>
      </c>
      <c r="N1050">
        <v>7.1444873588951463E-2</v>
      </c>
      <c r="O1050">
        <v>1.0127318051808613E-2</v>
      </c>
      <c r="P1050">
        <v>1.3541229589279398E-2</v>
      </c>
      <c r="Q1050">
        <v>4.4160407449508725E-4</v>
      </c>
      <c r="R1050">
        <v>7.649821466667987E-4</v>
      </c>
      <c r="S1050">
        <v>7.1709606881299029E-2</v>
      </c>
      <c r="T1050">
        <v>0.82681824931086101</v>
      </c>
      <c r="U1050">
        <v>0</v>
      </c>
      <c r="V1050">
        <v>9.1636292192548846E-2</v>
      </c>
      <c r="W1050">
        <v>4.6818523885211107E-2</v>
      </c>
      <c r="X1050">
        <v>7.147200226316465E-3</v>
      </c>
      <c r="Y1050">
        <v>2.0820292269301513E-3</v>
      </c>
    </row>
    <row r="1051" spans="1:25" x14ac:dyDescent="0.25">
      <c r="A1051" s="1096"/>
      <c r="B1051" s="1455">
        <v>801</v>
      </c>
      <c r="C1051" s="1100">
        <v>0.98485012300512176</v>
      </c>
      <c r="D1051" s="1100">
        <v>0.99494516384322462</v>
      </c>
      <c r="E1051" s="1100">
        <v>1.0032579795024243</v>
      </c>
      <c r="F1051" s="1100">
        <v>1.0143800001611707</v>
      </c>
      <c r="G1051" s="1100">
        <v>1.0263639950653041</v>
      </c>
      <c r="H1051" s="1100">
        <v>1.0323046829281883</v>
      </c>
      <c r="I1051" s="1100">
        <v>0.98564294648435635</v>
      </c>
      <c r="K1051">
        <v>1.1702610845936681</v>
      </c>
      <c r="L1051">
        <v>0</v>
      </c>
      <c r="M1051">
        <v>8.3539161664901343E-4</v>
      </c>
      <c r="N1051">
        <v>7.7639890825739175E-2</v>
      </c>
      <c r="O1051">
        <v>1.0530871241897418E-2</v>
      </c>
      <c r="P1051">
        <v>1.3767057693349212E-2</v>
      </c>
      <c r="Q1051">
        <v>4.5878263736561333E-4</v>
      </c>
      <c r="R1051">
        <v>8.3359932866521925E-4</v>
      </c>
      <c r="S1051">
        <v>7.4436075870203885E-2</v>
      </c>
      <c r="T1051">
        <v>0.83931588496309717</v>
      </c>
      <c r="U1051">
        <v>0</v>
      </c>
      <c r="V1051">
        <v>9.3604504478370529E-2</v>
      </c>
      <c r="W1051">
        <v>5.0905589982924125E-2</v>
      </c>
      <c r="X1051">
        <v>7.3354366120215809E-3</v>
      </c>
      <c r="Y1051">
        <v>2.268782576681885E-3</v>
      </c>
    </row>
    <row r="1052" spans="1:25" x14ac:dyDescent="0.25">
      <c r="A1052" s="1096"/>
      <c r="B1052" s="1455">
        <v>802</v>
      </c>
      <c r="C1052" s="1100">
        <v>1.0433983884759173</v>
      </c>
      <c r="D1052" s="1100">
        <v>1.0112764278807447</v>
      </c>
      <c r="E1052" s="1100">
        <v>1.0074694335285275</v>
      </c>
      <c r="F1052" s="1100">
        <v>0.9885797380333714</v>
      </c>
      <c r="G1052" s="1100">
        <v>1.0060311018889347</v>
      </c>
      <c r="H1052" s="1100">
        <v>0.97555618557681878</v>
      </c>
      <c r="I1052" s="1100">
        <v>1.0398501322299432</v>
      </c>
      <c r="K1052">
        <v>1.1273122937685409</v>
      </c>
      <c r="L1052">
        <v>0</v>
      </c>
      <c r="M1052">
        <v>7.3388686002246589E-4</v>
      </c>
      <c r="N1052">
        <v>6.9070604277787731E-2</v>
      </c>
      <c r="O1052">
        <v>9.8767456750983394E-3</v>
      </c>
      <c r="P1052">
        <v>1.3438453334987421E-2</v>
      </c>
      <c r="Q1052">
        <v>4.3210528758502248E-4</v>
      </c>
      <c r="R1052">
        <v>7.3222075488772146E-4</v>
      </c>
      <c r="S1052">
        <v>7.1223000467301442E-2</v>
      </c>
      <c r="T1052">
        <v>0.81769338279470039</v>
      </c>
      <c r="U1052">
        <v>0</v>
      </c>
      <c r="V1052">
        <v>9.1323700504291339E-2</v>
      </c>
      <c r="W1052">
        <v>4.5174290570394848E-2</v>
      </c>
      <c r="X1052">
        <v>7.0888134432317449E-3</v>
      </c>
      <c r="Y1052">
        <v>1.9928635182973999E-3</v>
      </c>
    </row>
    <row r="1053" spans="1:25" x14ac:dyDescent="0.25">
      <c r="A1053" s="1096"/>
      <c r="B1053" s="1455">
        <v>803</v>
      </c>
      <c r="C1053" s="1100">
        <v>1.0080034655004688</v>
      </c>
      <c r="D1053" s="1100">
        <v>1.0043771498034162</v>
      </c>
      <c r="E1053" s="1100">
        <v>0.98074863579067861</v>
      </c>
      <c r="F1053" s="1100">
        <v>0.99647777369121782</v>
      </c>
      <c r="G1053" s="1100">
        <v>0.9787665679831532</v>
      </c>
      <c r="H1053" s="1100">
        <v>0.98675156715451739</v>
      </c>
      <c r="I1053" s="1100">
        <v>1.0225217345576973</v>
      </c>
      <c r="K1053">
        <v>1.1408086257673626</v>
      </c>
      <c r="L1053">
        <v>0</v>
      </c>
      <c r="M1053">
        <v>8.1435069401162511E-4</v>
      </c>
      <c r="N1053">
        <v>7.0698688074883137E-2</v>
      </c>
      <c r="O1053">
        <v>1.0242937084370596E-2</v>
      </c>
      <c r="P1053">
        <v>1.330486935578702E-2</v>
      </c>
      <c r="Q1053">
        <v>4.3621152236199333E-4</v>
      </c>
      <c r="R1053">
        <v>8.1252289169302376E-4</v>
      </c>
      <c r="S1053">
        <v>7.3181005805349225E-2</v>
      </c>
      <c r="T1053">
        <v>0.82599405081741584</v>
      </c>
      <c r="U1053">
        <v>0</v>
      </c>
      <c r="V1053">
        <v>9.098816391200186E-2</v>
      </c>
      <c r="W1053">
        <v>4.6982807881600176E-2</v>
      </c>
      <c r="X1053">
        <v>6.7702996528215473E-3</v>
      </c>
      <c r="Y1053">
        <v>2.2114194630891496E-3</v>
      </c>
    </row>
    <row r="1054" spans="1:25" x14ac:dyDescent="0.25">
      <c r="A1054" s="1096"/>
      <c r="B1054" s="1455">
        <v>804</v>
      </c>
      <c r="C1054" s="1100">
        <v>1.0128272151009083</v>
      </c>
      <c r="D1054" s="1100">
        <v>1.0035020707560474</v>
      </c>
      <c r="E1054" s="1100">
        <v>0.98713097564578989</v>
      </c>
      <c r="F1054" s="1100">
        <v>0.99864533145085543</v>
      </c>
      <c r="G1054" s="1100">
        <v>1.0374567138260029</v>
      </c>
      <c r="H1054" s="1100">
        <v>0.98396111279922804</v>
      </c>
      <c r="I1054" s="1100">
        <v>1.0218241775546535</v>
      </c>
      <c r="K1054">
        <v>1.1439207846418888</v>
      </c>
      <c r="L1054">
        <v>0</v>
      </c>
      <c r="M1054">
        <v>7.9785606465539595E-4</v>
      </c>
      <c r="N1054">
        <v>7.0616437511356614E-2</v>
      </c>
      <c r="O1054">
        <v>1.0199762684434111E-2</v>
      </c>
      <c r="P1054">
        <v>1.3413837649015617E-2</v>
      </c>
      <c r="Q1054">
        <v>4.3719360248213243E-4</v>
      </c>
      <c r="R1054">
        <v>7.9606020582926717E-4</v>
      </c>
      <c r="S1054">
        <v>7.2708531436220122E-2</v>
      </c>
      <c r="T1054">
        <v>0.82736548672082055</v>
      </c>
      <c r="U1054">
        <v>0</v>
      </c>
      <c r="V1054">
        <v>9.3381718869569322E-2</v>
      </c>
      <c r="W1054">
        <v>4.6748205606603095E-2</v>
      </c>
      <c r="X1054">
        <v>6.884792961121578E-3</v>
      </c>
      <c r="Y1054">
        <v>2.1666134590909414E-3</v>
      </c>
    </row>
    <row r="1055" spans="1:25" x14ac:dyDescent="0.25">
      <c r="A1055" s="1096"/>
      <c r="B1055" s="1455">
        <v>805</v>
      </c>
      <c r="C1055" s="1100">
        <v>1.0238837247326944</v>
      </c>
      <c r="D1055" s="1100">
        <v>0.97227792556468118</v>
      </c>
      <c r="E1055" s="1100">
        <v>0.99578107495593426</v>
      </c>
      <c r="F1055" s="1100">
        <v>1.0316286904389604</v>
      </c>
      <c r="G1055" s="1100">
        <v>1.0328501171020357</v>
      </c>
      <c r="H1055" s="1100">
        <v>1.014547294034261</v>
      </c>
      <c r="I1055" s="1100">
        <v>0.97338156924711328</v>
      </c>
      <c r="K1055">
        <v>1.1737108677632622</v>
      </c>
      <c r="L1055">
        <v>0</v>
      </c>
      <c r="M1055">
        <v>8.0949214947051635E-4</v>
      </c>
      <c r="N1055">
        <v>7.3549602368246633E-2</v>
      </c>
      <c r="O1055">
        <v>1.0220793341825553E-2</v>
      </c>
      <c r="P1055">
        <v>1.3833061641652275E-2</v>
      </c>
      <c r="Q1055">
        <v>4.4193908305654913E-4</v>
      </c>
      <c r="R1055">
        <v>8.0772502995834236E-4</v>
      </c>
      <c r="S1055">
        <v>7.0843392486661827E-2</v>
      </c>
      <c r="T1055">
        <v>0.85409853824054249</v>
      </c>
      <c r="U1055">
        <v>0</v>
      </c>
      <c r="V1055">
        <v>9.2921524042255052E-2</v>
      </c>
      <c r="W1055">
        <v>4.8438598506232645E-2</v>
      </c>
      <c r="X1055">
        <v>7.1668239072374164E-3</v>
      </c>
      <c r="Y1055">
        <v>2.198361265062042E-3</v>
      </c>
    </row>
    <row r="1056" spans="1:25" x14ac:dyDescent="0.25">
      <c r="A1056" s="1096"/>
      <c r="B1056" s="1455">
        <v>806</v>
      </c>
      <c r="C1056" s="1100">
        <v>0.99958179075750864</v>
      </c>
      <c r="D1056" s="1100">
        <v>1.0124952244900973</v>
      </c>
      <c r="E1056" s="1100">
        <v>0.98135711761941335</v>
      </c>
      <c r="F1056" s="1100">
        <v>1.0063885808029986</v>
      </c>
      <c r="G1056" s="1100">
        <v>1.0038852354258978</v>
      </c>
      <c r="H1056" s="1100">
        <v>1.0441160789549202</v>
      </c>
      <c r="I1056" s="1100">
        <v>0.97250393160893678</v>
      </c>
      <c r="K1056">
        <v>1.1571865686648941</v>
      </c>
      <c r="L1056">
        <v>0</v>
      </c>
      <c r="M1056">
        <v>8.650697577303483E-4</v>
      </c>
      <c r="N1056">
        <v>7.5249598198144418E-2</v>
      </c>
      <c r="O1056">
        <v>1.0296226015000002E-2</v>
      </c>
      <c r="P1056">
        <v>1.3424351364437636E-2</v>
      </c>
      <c r="Q1056">
        <v>4.3875202268702862E-4</v>
      </c>
      <c r="R1056">
        <v>8.6323479214395172E-4</v>
      </c>
      <c r="S1056">
        <v>7.2157208733767284E-2</v>
      </c>
      <c r="T1056">
        <v>0.83416833704575011</v>
      </c>
      <c r="U1056">
        <v>0</v>
      </c>
      <c r="V1056">
        <v>9.2269543104668894E-2</v>
      </c>
      <c r="W1056">
        <v>4.9988760167566003E-2</v>
      </c>
      <c r="X1056">
        <v>6.8461864395161437E-3</v>
      </c>
      <c r="Y1056">
        <v>2.349440538943085E-3</v>
      </c>
    </row>
    <row r="1057" spans="1:25" x14ac:dyDescent="0.25">
      <c r="A1057" s="1096"/>
      <c r="B1057" s="1455">
        <v>807</v>
      </c>
      <c r="C1057" s="1100">
        <v>1.0058015845993706</v>
      </c>
      <c r="D1057" s="1100">
        <v>1.0183559022684177</v>
      </c>
      <c r="E1057" s="1100">
        <v>1.0044903206008</v>
      </c>
      <c r="F1057" s="1100">
        <v>0.97828995557932485</v>
      </c>
      <c r="G1057" s="1100">
        <v>0.95465417568143007</v>
      </c>
      <c r="H1057" s="1100">
        <v>1.0077711053380793</v>
      </c>
      <c r="I1057" s="1100">
        <v>0.95575237329995555</v>
      </c>
      <c r="K1057">
        <v>1.1232589936780772</v>
      </c>
      <c r="L1057">
        <v>0</v>
      </c>
      <c r="M1057">
        <v>7.8913433019367409E-4</v>
      </c>
      <c r="N1057">
        <v>7.3610454525878943E-2</v>
      </c>
      <c r="O1057">
        <v>1.0216423539591925E-2</v>
      </c>
      <c r="P1057">
        <v>1.324525220939334E-2</v>
      </c>
      <c r="Q1057">
        <v>4.4563406241632269E-4</v>
      </c>
      <c r="R1057">
        <v>7.8740006857439828E-4</v>
      </c>
      <c r="S1057">
        <v>6.8899743994166637E-2</v>
      </c>
      <c r="T1057">
        <v>0.80937468189931705</v>
      </c>
      <c r="U1057">
        <v>0</v>
      </c>
      <c r="V1057">
        <v>9.0014836890117661E-2</v>
      </c>
      <c r="W1057">
        <v>4.8228409151768015E-2</v>
      </c>
      <c r="X1057">
        <v>7.0822482467503027E-3</v>
      </c>
      <c r="Y1057">
        <v>2.1430434202966663E-3</v>
      </c>
    </row>
    <row r="1058" spans="1:25" x14ac:dyDescent="0.25">
      <c r="A1058" s="1096"/>
      <c r="B1058" s="1455">
        <v>808</v>
      </c>
      <c r="C1058" s="1100">
        <v>0.9798224663505245</v>
      </c>
      <c r="D1058" s="1100">
        <v>1.0196507733230677</v>
      </c>
      <c r="E1058" s="1100">
        <v>1.0002484601934618</v>
      </c>
      <c r="F1058" s="1100">
        <v>0.98931709148432512</v>
      </c>
      <c r="G1058" s="1100">
        <v>0.99643236087222387</v>
      </c>
      <c r="H1058" s="1100">
        <v>1.0438656753433335</v>
      </c>
      <c r="I1058" s="1100">
        <v>1.030242606023843</v>
      </c>
      <c r="K1058">
        <v>1.151951841980267</v>
      </c>
      <c r="L1058">
        <v>0</v>
      </c>
      <c r="M1058">
        <v>8.460588087615354E-4</v>
      </c>
      <c r="N1058">
        <v>7.792152129625296E-2</v>
      </c>
      <c r="O1058">
        <v>1.0480567177048481E-2</v>
      </c>
      <c r="P1058">
        <v>1.3485226596892854E-2</v>
      </c>
      <c r="Q1058">
        <v>4.5521330128189526E-4</v>
      </c>
      <c r="R1058">
        <v>8.4426373825197522E-4</v>
      </c>
      <c r="S1058">
        <v>7.7716126883854042E-2</v>
      </c>
      <c r="T1058">
        <v>0.81877533961948668</v>
      </c>
      <c r="U1058">
        <v>0</v>
      </c>
      <c r="V1058">
        <v>9.2453536228900915E-2</v>
      </c>
      <c r="W1058">
        <v>5.1181584596473026E-2</v>
      </c>
      <c r="X1058">
        <v>7.1867137665298647E-3</v>
      </c>
      <c r="Y1058">
        <v>2.2978075840553603E-3</v>
      </c>
    </row>
    <row r="1059" spans="1:25" x14ac:dyDescent="0.25">
      <c r="A1059" s="1096"/>
      <c r="B1059" s="1455">
        <v>809</v>
      </c>
      <c r="C1059" s="1100">
        <v>1.0112365675793946</v>
      </c>
      <c r="D1059" s="1100">
        <v>0.99959621010910993</v>
      </c>
      <c r="E1059" s="1100">
        <v>0.97939575595083705</v>
      </c>
      <c r="F1059" s="1100">
        <v>1.0095103097740703</v>
      </c>
      <c r="G1059" s="1100">
        <v>0.99839593138608684</v>
      </c>
      <c r="H1059" s="1100">
        <v>0.98485951998917232</v>
      </c>
      <c r="I1059" s="1100">
        <v>1.0081199079121839</v>
      </c>
      <c r="K1059">
        <v>1.1509424364499534</v>
      </c>
      <c r="L1059">
        <v>0</v>
      </c>
      <c r="M1059">
        <v>8.1401239780824655E-4</v>
      </c>
      <c r="N1059">
        <v>7.0380332580811097E-2</v>
      </c>
      <c r="O1059">
        <v>1.0229257706887519E-2</v>
      </c>
      <c r="P1059">
        <v>1.343198616608288E-2</v>
      </c>
      <c r="Q1059">
        <v>4.3503038249340114E-4</v>
      </c>
      <c r="R1059">
        <v>8.1218184479766556E-4</v>
      </c>
      <c r="S1059">
        <v>7.2017954312573851E-2</v>
      </c>
      <c r="T1059">
        <v>0.83688819791998781</v>
      </c>
      <c r="U1059">
        <v>0</v>
      </c>
      <c r="V1059">
        <v>9.1748871884494529E-2</v>
      </c>
      <c r="W1059">
        <v>4.6809465637039249E-2</v>
      </c>
      <c r="X1059">
        <v>6.7926791667270456E-3</v>
      </c>
      <c r="Y1059">
        <v>2.2104912458660638E-3</v>
      </c>
    </row>
    <row r="1060" spans="1:25" x14ac:dyDescent="0.25">
      <c r="A1060" s="1096"/>
      <c r="B1060" s="1455">
        <v>810</v>
      </c>
      <c r="C1060" s="1100">
        <v>0.99404731658292889</v>
      </c>
      <c r="D1060" s="1100">
        <v>0.97419118828319784</v>
      </c>
      <c r="E1060" s="1100">
        <v>1.0290705166740257</v>
      </c>
      <c r="F1060" s="1100">
        <v>1.0084121570401232</v>
      </c>
      <c r="G1060" s="1100">
        <v>1.0132825185183778</v>
      </c>
      <c r="H1060" s="1100">
        <v>0.98434457623753591</v>
      </c>
      <c r="I1060" s="1100">
        <v>1.0069816158815166</v>
      </c>
      <c r="K1060">
        <v>1.1590988089707539</v>
      </c>
      <c r="L1060">
        <v>0</v>
      </c>
      <c r="M1060">
        <v>7.5429868186833852E-4</v>
      </c>
      <c r="N1060">
        <v>7.5774147437291994E-2</v>
      </c>
      <c r="O1060">
        <v>1.0530393281903177E-2</v>
      </c>
      <c r="P1060">
        <v>1.3924238346757422E-2</v>
      </c>
      <c r="Q1060">
        <v>4.7071232049219927E-4</v>
      </c>
      <c r="R1060">
        <v>7.5260152582858704E-4</v>
      </c>
      <c r="S1060">
        <v>7.4194626060099231E-2</v>
      </c>
      <c r="T1060">
        <v>0.8326683322402828</v>
      </c>
      <c r="U1060">
        <v>0</v>
      </c>
      <c r="V1060">
        <v>9.2816448044113473E-2</v>
      </c>
      <c r="W1060">
        <v>4.893539185491342E-2</v>
      </c>
      <c r="X1060">
        <v>7.7378832826603188E-3</v>
      </c>
      <c r="Y1060">
        <v>2.0483332582791015E-3</v>
      </c>
    </row>
    <row r="1061" spans="1:25" x14ac:dyDescent="0.25">
      <c r="A1061" s="1096"/>
      <c r="B1061" s="1455">
        <v>811</v>
      </c>
      <c r="C1061" s="1100">
        <v>0.98987835004665869</v>
      </c>
      <c r="D1061" s="1100">
        <v>1.0080561134741892</v>
      </c>
      <c r="E1061" s="1100">
        <v>0.98715184817964063</v>
      </c>
      <c r="F1061" s="1100">
        <v>0.98208504468355462</v>
      </c>
      <c r="G1061" s="1100">
        <v>1.0184400125710951</v>
      </c>
      <c r="H1061" s="1100">
        <v>1.0276160014855638</v>
      </c>
      <c r="I1061" s="1100">
        <v>0.99090828104841056</v>
      </c>
      <c r="K1061">
        <v>1.1390273431359916</v>
      </c>
      <c r="L1061">
        <v>0</v>
      </c>
      <c r="M1061">
        <v>8.5099237984874324E-4</v>
      </c>
      <c r="N1061">
        <v>7.5331385781265317E-2</v>
      </c>
      <c r="O1061">
        <v>1.0417351452268625E-2</v>
      </c>
      <c r="P1061">
        <v>1.323953192290498E-2</v>
      </c>
      <c r="Q1061">
        <v>4.4652957029672237E-4</v>
      </c>
      <c r="R1061">
        <v>8.4915829091336461E-4</v>
      </c>
      <c r="S1061">
        <v>7.3747402550485439E-2</v>
      </c>
      <c r="T1061">
        <v>0.81364412531416785</v>
      </c>
      <c r="U1061">
        <v>0</v>
      </c>
      <c r="V1061">
        <v>9.3135697110235408E-2</v>
      </c>
      <c r="W1061">
        <v>4.9868884666427679E-2</v>
      </c>
      <c r="X1061">
        <v>6.8871399139631964E-3</v>
      </c>
      <c r="Y1061">
        <v>2.3111289429108106E-3</v>
      </c>
    </row>
    <row r="1062" spans="1:25" x14ac:dyDescent="0.25">
      <c r="A1062" s="1096"/>
      <c r="B1062" s="1455">
        <v>812</v>
      </c>
      <c r="C1062" s="1100">
        <v>1.0237189683024668</v>
      </c>
      <c r="D1062" s="1100">
        <v>1.0154439018341592</v>
      </c>
      <c r="E1062" s="1100">
        <v>0.99282351280867454</v>
      </c>
      <c r="F1062" s="1100">
        <v>0.97291906592608657</v>
      </c>
      <c r="G1062" s="1100">
        <v>1.0173002548163586</v>
      </c>
      <c r="H1062" s="1100">
        <v>1.0013159642095679</v>
      </c>
      <c r="I1062" s="1100">
        <v>0.98341457207360949</v>
      </c>
      <c r="K1062">
        <v>1.1180978202841692</v>
      </c>
      <c r="L1062">
        <v>0</v>
      </c>
      <c r="M1062">
        <v>7.9012745766022217E-4</v>
      </c>
      <c r="N1062">
        <v>7.114920522769673E-2</v>
      </c>
      <c r="O1062">
        <v>1.0045410769819041E-2</v>
      </c>
      <c r="P1062">
        <v>1.3118655445910742E-2</v>
      </c>
      <c r="Q1062">
        <v>4.3306223879992201E-4</v>
      </c>
      <c r="R1062">
        <v>7.8837981920742387E-4</v>
      </c>
      <c r="S1062">
        <v>6.9491546243077268E-2</v>
      </c>
      <c r="T1062">
        <v>0.80568312502174666</v>
      </c>
      <c r="U1062">
        <v>0</v>
      </c>
      <c r="V1062">
        <v>9.2260202032583685E-2</v>
      </c>
      <c r="W1062">
        <v>4.6940546926631729E-2</v>
      </c>
      <c r="X1062">
        <v>6.8321040378092873E-3</v>
      </c>
      <c r="Y1062">
        <v>2.1457099785450531E-3</v>
      </c>
    </row>
    <row r="1063" spans="1:25" x14ac:dyDescent="0.25">
      <c r="A1063" s="1096"/>
      <c r="B1063" s="1455">
        <v>813</v>
      </c>
      <c r="C1063" s="1100">
        <v>1.046246374322132</v>
      </c>
      <c r="D1063" s="1100">
        <v>0.98864432597060747</v>
      </c>
      <c r="E1063" s="1100">
        <v>1.0032182820246665</v>
      </c>
      <c r="F1063" s="1100">
        <v>1.0038137708502739</v>
      </c>
      <c r="G1063" s="1100">
        <v>1.0046895636021977</v>
      </c>
      <c r="H1063" s="1100">
        <v>1.0185868956582915</v>
      </c>
      <c r="I1063" s="1100">
        <v>0.97109099252992415</v>
      </c>
      <c r="K1063">
        <v>1.143327789834768</v>
      </c>
      <c r="L1063">
        <v>0</v>
      </c>
      <c r="M1063">
        <v>7.7795752140603751E-4</v>
      </c>
      <c r="N1063">
        <v>7.2291300423020913E-2</v>
      </c>
      <c r="O1063">
        <v>9.9381045602272376E-3</v>
      </c>
      <c r="P1063">
        <v>1.3536406356638032E-2</v>
      </c>
      <c r="Q1063">
        <v>4.3294121728252455E-4</v>
      </c>
      <c r="R1063">
        <v>7.7626597710123884E-4</v>
      </c>
      <c r="S1063">
        <v>6.8737781167774903E-2</v>
      </c>
      <c r="T1063">
        <v>0.83057583466515017</v>
      </c>
      <c r="U1063">
        <v>0</v>
      </c>
      <c r="V1063">
        <v>9.1201123581934496E-2</v>
      </c>
      <c r="W1063">
        <v>4.7399833585726109E-2</v>
      </c>
      <c r="X1063">
        <v>7.1034157276580814E-3</v>
      </c>
      <c r="Y1063">
        <v>2.1127400936589939E-3</v>
      </c>
    </row>
    <row r="1064" spans="1:25" x14ac:dyDescent="0.25">
      <c r="A1064" s="1096"/>
      <c r="B1064" s="1455">
        <v>814</v>
      </c>
      <c r="C1064" s="1100">
        <v>1.0258453536013468</v>
      </c>
      <c r="D1064" s="1100">
        <v>1.0298150972027218</v>
      </c>
      <c r="E1064" s="1100">
        <v>1.00078437592245</v>
      </c>
      <c r="F1064" s="1100">
        <v>1.0257646100022033</v>
      </c>
      <c r="G1064" s="1100">
        <v>1.002191164913508</v>
      </c>
      <c r="H1064" s="1100">
        <v>0.98181921493048063</v>
      </c>
      <c r="I1064" s="1100">
        <v>1.0044041959491463</v>
      </c>
      <c r="K1064">
        <v>1.1589570434980894</v>
      </c>
      <c r="L1064">
        <v>0</v>
      </c>
      <c r="M1064">
        <v>7.5621800749742414E-4</v>
      </c>
      <c r="N1064">
        <v>6.9750716758787815E-2</v>
      </c>
      <c r="O1064">
        <v>9.9709037512349628E-3</v>
      </c>
      <c r="P1064">
        <v>1.3778042529454899E-2</v>
      </c>
      <c r="Q1064">
        <v>4.3330985393855772E-4</v>
      </c>
      <c r="R1064">
        <v>7.5451215661141843E-4</v>
      </c>
      <c r="S1064">
        <v>6.9560652665654976E-2</v>
      </c>
      <c r="T1064">
        <v>0.84890352925847301</v>
      </c>
      <c r="U1064">
        <v>0</v>
      </c>
      <c r="V1064">
        <v>9.1565071951043728E-2</v>
      </c>
      <c r="W1064">
        <v>4.5800129387068574E-2</v>
      </c>
      <c r="X1064">
        <v>7.142859827886777E-3</v>
      </c>
      <c r="Y1064">
        <v>2.0535333654307002E-3</v>
      </c>
    </row>
    <row r="1065" spans="1:25" x14ac:dyDescent="0.25">
      <c r="A1065" s="1096"/>
      <c r="B1065" s="1455">
        <v>815</v>
      </c>
      <c r="C1065" s="1100">
        <v>0.97023413644480072</v>
      </c>
      <c r="D1065" s="1100">
        <v>0.9927205376269338</v>
      </c>
      <c r="E1065" s="1100">
        <v>1.0315332502482739</v>
      </c>
      <c r="F1065" s="1100">
        <v>1.0085749310161414</v>
      </c>
      <c r="G1065" s="1100">
        <v>1.0276093139249924</v>
      </c>
      <c r="H1065" s="1100">
        <v>0.99416876029933765</v>
      </c>
      <c r="I1065" s="1100">
        <v>1.0100662952206241</v>
      </c>
      <c r="K1065">
        <v>1.1660428938563754</v>
      </c>
      <c r="L1065">
        <v>0</v>
      </c>
      <c r="M1065">
        <v>7.7069915164133666E-4</v>
      </c>
      <c r="N1065">
        <v>7.8000329702947374E-2</v>
      </c>
      <c r="O1065">
        <v>1.0708679502106197E-2</v>
      </c>
      <c r="P1065">
        <v>1.399019061484735E-2</v>
      </c>
      <c r="Q1065">
        <v>4.7984854260390002E-4</v>
      </c>
      <c r="R1065">
        <v>7.6898223050690933E-4</v>
      </c>
      <c r="S1065">
        <v>7.5933041899285833E-2</v>
      </c>
      <c r="T1065">
        <v>0.83264073492974744</v>
      </c>
      <c r="U1065">
        <v>0</v>
      </c>
      <c r="V1065">
        <v>9.4041309386185698E-2</v>
      </c>
      <c r="W1065">
        <v>5.030113079804302E-2</v>
      </c>
      <c r="X1065">
        <v>7.8564292652260771E-3</v>
      </c>
      <c r="Y1065">
        <v>2.0929161365156484E-3</v>
      </c>
    </row>
    <row r="1066" spans="1:25" x14ac:dyDescent="0.25">
      <c r="A1066" s="1096"/>
      <c r="B1066" s="1455">
        <v>816</v>
      </c>
      <c r="C1066" s="1100">
        <v>0.98976833019116395</v>
      </c>
      <c r="D1066" s="1100">
        <v>1.0334082789746304</v>
      </c>
      <c r="E1066" s="1100">
        <v>1.0252948324694142</v>
      </c>
      <c r="F1066" s="1100">
        <v>0.99545893285798481</v>
      </c>
      <c r="G1066" s="1100">
        <v>1.0178625369394405</v>
      </c>
      <c r="H1066" s="1100">
        <v>1.0224927573630573</v>
      </c>
      <c r="I1066" s="1100">
        <v>1.0066262127627199</v>
      </c>
      <c r="K1066">
        <v>1.1501207460307294</v>
      </c>
      <c r="L1066">
        <v>0</v>
      </c>
      <c r="M1066">
        <v>7.7462999131651757E-4</v>
      </c>
      <c r="N1066">
        <v>7.6942157744859796E-2</v>
      </c>
      <c r="O1066">
        <v>1.0327970115555621E-2</v>
      </c>
      <c r="P1066">
        <v>1.3739787857600877E-2</v>
      </c>
      <c r="Q1066">
        <v>4.5994109638685499E-4</v>
      </c>
      <c r="R1066">
        <v>7.729521161551025E-4</v>
      </c>
      <c r="S1066">
        <v>7.381666828514398E-2</v>
      </c>
      <c r="T1066">
        <v>0.82221808912125227</v>
      </c>
      <c r="U1066">
        <v>0</v>
      </c>
      <c r="V1066">
        <v>9.3119389820879292E-2</v>
      </c>
      <c r="W1066">
        <v>4.9798965458154425E-2</v>
      </c>
      <c r="X1066">
        <v>7.595733549478908E-3</v>
      </c>
      <c r="Y1066">
        <v>2.1037208565775783E-3</v>
      </c>
    </row>
    <row r="1067" spans="1:25" x14ac:dyDescent="0.25">
      <c r="A1067" s="1096"/>
      <c r="B1067" s="1455">
        <v>817</v>
      </c>
      <c r="C1067" s="1100">
        <v>1.0017849113647599</v>
      </c>
      <c r="D1067" s="1100">
        <v>0.97735090842791483</v>
      </c>
      <c r="E1067" s="1100">
        <v>0.98551804971266865</v>
      </c>
      <c r="F1067" s="1100">
        <v>1.0232453804648491</v>
      </c>
      <c r="G1067" s="1100">
        <v>1.020036148694804</v>
      </c>
      <c r="H1067" s="1100">
        <v>0.95275193552091408</v>
      </c>
      <c r="I1067" s="1100">
        <v>0.9861912889901242</v>
      </c>
      <c r="K1067">
        <v>1.1610237442510598</v>
      </c>
      <c r="L1067">
        <v>0</v>
      </c>
      <c r="M1067">
        <v>7.9199846835884501E-4</v>
      </c>
      <c r="N1067">
        <v>6.9751741894871266E-2</v>
      </c>
      <c r="O1067">
        <v>1.0421156788290097E-2</v>
      </c>
      <c r="P1067">
        <v>1.3639624167026557E-2</v>
      </c>
      <c r="Q1067">
        <v>4.459541283216165E-4</v>
      </c>
      <c r="R1067">
        <v>7.9015739929744612E-4</v>
      </c>
      <c r="S1067">
        <v>7.0654186792332138E-2</v>
      </c>
      <c r="T1067">
        <v>0.8478563237991259</v>
      </c>
      <c r="U1067">
        <v>0</v>
      </c>
      <c r="V1067">
        <v>9.2906243364120872E-2</v>
      </c>
      <c r="W1067">
        <v>4.6220544161604614E-2</v>
      </c>
      <c r="X1067">
        <v>6.9792622588553382E-3</v>
      </c>
      <c r="Y1067">
        <v>2.1505479655709739E-3</v>
      </c>
    </row>
    <row r="1068" spans="1:25" x14ac:dyDescent="0.25">
      <c r="A1068" s="1096"/>
      <c r="B1068" s="1455">
        <v>818</v>
      </c>
      <c r="C1068" s="1100">
        <v>1.0244389997312262</v>
      </c>
      <c r="D1068" s="1100">
        <v>0.98823035489248501</v>
      </c>
      <c r="E1068" s="1100">
        <v>1.03826739864766</v>
      </c>
      <c r="F1068" s="1100">
        <v>1.0130055442136745</v>
      </c>
      <c r="G1068" s="1100">
        <v>0.98369184990085201</v>
      </c>
      <c r="H1068" s="1100">
        <v>0.99557060468672698</v>
      </c>
      <c r="I1068" s="1100">
        <v>1.0278856222355741</v>
      </c>
      <c r="K1068">
        <v>1.1569876914815398</v>
      </c>
      <c r="L1068">
        <v>0</v>
      </c>
      <c r="M1068">
        <v>7.2206476953863845E-4</v>
      </c>
      <c r="N1068">
        <v>7.4576559532603809E-2</v>
      </c>
      <c r="O1068">
        <v>1.0162645290199671E-2</v>
      </c>
      <c r="P1068">
        <v>1.4023070613880924E-2</v>
      </c>
      <c r="Q1068">
        <v>4.5841498639667612E-4</v>
      </c>
      <c r="R1068">
        <v>7.2045845840882825E-4</v>
      </c>
      <c r="S1068">
        <v>7.3420253177315542E-2</v>
      </c>
      <c r="T1068">
        <v>0.83585456476465503</v>
      </c>
      <c r="U1068">
        <v>0</v>
      </c>
      <c r="V1068">
        <v>9.081354580796018E-2</v>
      </c>
      <c r="W1068">
        <v>4.7906285914998986E-2</v>
      </c>
      <c r="X1068">
        <v>7.8131072799371357E-3</v>
      </c>
      <c r="Y1068">
        <v>1.960850424721845E-3</v>
      </c>
    </row>
    <row r="1069" spans="1:25" x14ac:dyDescent="0.25">
      <c r="A1069" s="1096"/>
      <c r="B1069" s="1455">
        <v>819</v>
      </c>
      <c r="C1069" s="1100">
        <v>0.96760416469453903</v>
      </c>
      <c r="D1069" s="1100">
        <v>1.000454607123006</v>
      </c>
      <c r="E1069" s="1100">
        <v>1.0330152203400591</v>
      </c>
      <c r="F1069" s="1100">
        <v>0.98419903829445587</v>
      </c>
      <c r="G1069" s="1100">
        <v>0.98905255771364387</v>
      </c>
      <c r="H1069" s="1100">
        <v>1.0307457935839677</v>
      </c>
      <c r="I1069" s="1100">
        <v>0.99003701488134266</v>
      </c>
      <c r="K1069">
        <v>1.1487210699004098</v>
      </c>
      <c r="L1069">
        <v>0</v>
      </c>
      <c r="M1069">
        <v>7.9627927365129249E-4</v>
      </c>
      <c r="N1069">
        <v>8.0956414858968595E-2</v>
      </c>
      <c r="O1069">
        <v>1.0705008641178388E-2</v>
      </c>
      <c r="P1069">
        <v>1.3699753160162786E-2</v>
      </c>
      <c r="Q1069">
        <v>4.8038653184090781E-4</v>
      </c>
      <c r="R1069">
        <v>7.9456831537708626E-4</v>
      </c>
      <c r="S1069">
        <v>7.5857529404739027E-2</v>
      </c>
      <c r="T1069">
        <v>0.81242189643156204</v>
      </c>
      <c r="U1069">
        <v>0</v>
      </c>
      <c r="V1069">
        <v>9.2463407418977461E-2</v>
      </c>
      <c r="W1069">
        <v>5.216264948847469E-2</v>
      </c>
      <c r="X1069">
        <v>7.8131818976984076E-3</v>
      </c>
      <c r="Y1069">
        <v>2.1625530250816601E-3</v>
      </c>
    </row>
    <row r="1070" spans="1:25" x14ac:dyDescent="0.25">
      <c r="A1070" s="1096"/>
      <c r="B1070" s="1455">
        <v>820</v>
      </c>
      <c r="C1070" s="1100">
        <v>1.0118660010809504</v>
      </c>
      <c r="D1070" s="1100">
        <v>1.0127023527158823</v>
      </c>
      <c r="E1070" s="1100">
        <v>1.0142524509406632</v>
      </c>
      <c r="F1070" s="1100">
        <v>0.99833816871380066</v>
      </c>
      <c r="G1070" s="1100">
        <v>1.0145743267692606</v>
      </c>
      <c r="H1070" s="1100">
        <v>1.028767336135795</v>
      </c>
      <c r="I1070" s="1100">
        <v>0.97641326984137011</v>
      </c>
      <c r="K1070">
        <v>1.1472658629379795</v>
      </c>
      <c r="L1070">
        <v>0</v>
      </c>
      <c r="M1070">
        <v>7.8642190451939063E-4</v>
      </c>
      <c r="N1070">
        <v>7.5555092064013507E-2</v>
      </c>
      <c r="O1070">
        <v>1.0180979014176458E-2</v>
      </c>
      <c r="P1070">
        <v>1.3623254354176976E-2</v>
      </c>
      <c r="Q1070">
        <v>4.4844441408603119E-4</v>
      </c>
      <c r="R1070">
        <v>7.8472887701835881E-4</v>
      </c>
      <c r="S1070">
        <v>7.0998572012126795E-2</v>
      </c>
      <c r="T1070">
        <v>0.82531902773170318</v>
      </c>
      <c r="U1070">
        <v>0</v>
      </c>
      <c r="V1070">
        <v>9.2430152752218761E-2</v>
      </c>
      <c r="W1070">
        <v>4.9218221446276966E-2</v>
      </c>
      <c r="X1070">
        <v>7.358038859261529E-3</v>
      </c>
      <c r="Y1070">
        <v>2.1357733174391874E-3</v>
      </c>
    </row>
    <row r="1071" spans="1:25" x14ac:dyDescent="0.25">
      <c r="A1071" s="1096"/>
      <c r="B1071" s="1455">
        <v>821</v>
      </c>
      <c r="C1071" s="1100">
        <v>1.0382760291836635</v>
      </c>
      <c r="D1071" s="1100">
        <v>0.98218174725696394</v>
      </c>
      <c r="E1071" s="1100">
        <v>1.039634259849687</v>
      </c>
      <c r="F1071" s="1100">
        <v>1.0239699476723454</v>
      </c>
      <c r="G1071" s="1100">
        <v>1.0023450519899015</v>
      </c>
      <c r="H1071" s="1100">
        <v>0.97019676350997519</v>
      </c>
      <c r="I1071" s="1100">
        <v>1.0001953107531008</v>
      </c>
      <c r="K1071">
        <v>1.158291561252794</v>
      </c>
      <c r="L1071">
        <v>0</v>
      </c>
      <c r="M1071">
        <v>6.9400901269576283E-4</v>
      </c>
      <c r="N1071">
        <v>7.1970465637339498E-2</v>
      </c>
      <c r="O1071">
        <v>1.005229985535514E-2</v>
      </c>
      <c r="P1071">
        <v>1.4117165165780059E-2</v>
      </c>
      <c r="Q1071">
        <v>4.5404773208364713E-4</v>
      </c>
      <c r="R1071">
        <v>6.9242473660967286E-4</v>
      </c>
      <c r="S1071">
        <v>6.9712384678759343E-2</v>
      </c>
      <c r="T1071">
        <v>0.84481065570611324</v>
      </c>
      <c r="U1071">
        <v>0</v>
      </c>
      <c r="V1071">
        <v>9.1288202215149383E-2</v>
      </c>
      <c r="W1071">
        <v>4.6195779302804031E-2</v>
      </c>
      <c r="X1071">
        <v>7.8075933601956977E-3</v>
      </c>
      <c r="Y1071">
        <v>1.8845518752984515E-3</v>
      </c>
    </row>
    <row r="1072" spans="1:25" x14ac:dyDescent="0.25">
      <c r="A1072" s="1096"/>
      <c r="B1072" s="1455">
        <v>822</v>
      </c>
      <c r="C1072" s="1100">
        <v>0.96304345988864393</v>
      </c>
      <c r="D1072" s="1100">
        <v>0.96834001111361756</v>
      </c>
      <c r="E1072" s="1100">
        <v>0.99088796624928832</v>
      </c>
      <c r="F1072" s="1100">
        <v>1.0107292825664456</v>
      </c>
      <c r="G1072" s="1100">
        <v>0.97932237349803242</v>
      </c>
      <c r="H1072" s="1100">
        <v>1.0034699831650378</v>
      </c>
      <c r="I1072" s="1100">
        <v>1.0053578957967486</v>
      </c>
      <c r="K1072">
        <v>1.1692870021559247</v>
      </c>
      <c r="L1072">
        <v>0</v>
      </c>
      <c r="M1072">
        <v>8.6130690355652002E-4</v>
      </c>
      <c r="N1072">
        <v>7.7106634623039932E-2</v>
      </c>
      <c r="O1072">
        <v>1.0882463797760615E-2</v>
      </c>
      <c r="P1072">
        <v>1.3632058458019401E-2</v>
      </c>
      <c r="Q1072">
        <v>4.682319829049053E-4</v>
      </c>
      <c r="R1072">
        <v>8.594059166738431E-4</v>
      </c>
      <c r="S1072">
        <v>7.7472777329095244E-2</v>
      </c>
      <c r="T1072">
        <v>0.83712414238688537</v>
      </c>
      <c r="U1072">
        <v>0</v>
      </c>
      <c r="V1072">
        <v>9.2161080845232821E-2</v>
      </c>
      <c r="W1072">
        <v>5.0929882131302458E-2</v>
      </c>
      <c r="X1072">
        <v>7.1726119864652816E-3</v>
      </c>
      <c r="Y1072">
        <v>2.339019602101909E-3</v>
      </c>
    </row>
    <row r="1073" spans="1:25" x14ac:dyDescent="0.25">
      <c r="A1073" s="1096"/>
      <c r="B1073" s="1455">
        <v>823</v>
      </c>
      <c r="C1073" s="1100">
        <v>1.0172420876944535</v>
      </c>
      <c r="D1073" s="1100">
        <v>1.0131259039444822</v>
      </c>
      <c r="E1073" s="1100">
        <v>1.0169965383615416</v>
      </c>
      <c r="F1073" s="1100">
        <v>1.0017946249752141</v>
      </c>
      <c r="G1073" s="1100">
        <v>0.99866724952932839</v>
      </c>
      <c r="H1073" s="1100">
        <v>0.99356248461532637</v>
      </c>
      <c r="I1073" s="1100">
        <v>1.0239029665656956</v>
      </c>
      <c r="K1073">
        <v>1.1459935870046727</v>
      </c>
      <c r="L1073">
        <v>0</v>
      </c>
      <c r="M1073">
        <v>7.510722044351281E-4</v>
      </c>
      <c r="N1073">
        <v>7.2753352157837792E-2</v>
      </c>
      <c r="O1073">
        <v>1.0126359615661353E-2</v>
      </c>
      <c r="P1073">
        <v>1.3698873718160759E-2</v>
      </c>
      <c r="Q1073">
        <v>4.4725998483025373E-4</v>
      </c>
      <c r="R1073">
        <v>7.4939798614151671E-4</v>
      </c>
      <c r="S1073">
        <v>7.2611171209204878E-2</v>
      </c>
      <c r="T1073">
        <v>0.82799584948831062</v>
      </c>
      <c r="U1073">
        <v>0</v>
      </c>
      <c r="V1073">
        <v>9.1621175961826284E-2</v>
      </c>
      <c r="W1073">
        <v>4.7316819935680585E-2</v>
      </c>
      <c r="X1073">
        <v>7.3847848721553082E-3</v>
      </c>
      <c r="Y1073">
        <v>2.0396142792974705E-3</v>
      </c>
    </row>
    <row r="1074" spans="1:25" x14ac:dyDescent="0.25">
      <c r="A1074" s="1096"/>
      <c r="B1074" s="1455">
        <v>824</v>
      </c>
      <c r="C1074" s="1100">
        <v>1.0252854486141862</v>
      </c>
      <c r="D1074" s="1100">
        <v>0.98184466406001147</v>
      </c>
      <c r="E1074" s="1100">
        <v>0.99485996441966384</v>
      </c>
      <c r="F1074" s="1100">
        <v>0.99357457786403569</v>
      </c>
      <c r="G1074" s="1100">
        <v>1.0043375998329958</v>
      </c>
      <c r="H1074" s="1100">
        <v>1.0123900808127708</v>
      </c>
      <c r="I1074" s="1100">
        <v>0.97499723373941438</v>
      </c>
      <c r="K1074">
        <v>1.1388993086919978</v>
      </c>
      <c r="L1074">
        <v>0</v>
      </c>
      <c r="M1074">
        <v>8.0504900100983507E-4</v>
      </c>
      <c r="N1074">
        <v>7.2942219947443446E-2</v>
      </c>
      <c r="O1074">
        <v>1.0166626434506238E-2</v>
      </c>
      <c r="P1074">
        <v>1.3373811901798151E-2</v>
      </c>
      <c r="Q1074">
        <v>4.3918906712549596E-4</v>
      </c>
      <c r="R1074">
        <v>8.0328783614819416E-4</v>
      </c>
      <c r="S1074">
        <v>7.0423768230010078E-2</v>
      </c>
      <c r="T1074">
        <v>0.82265378228977182</v>
      </c>
      <c r="U1074">
        <v>0</v>
      </c>
      <c r="V1074">
        <v>9.1669231509553015E-2</v>
      </c>
      <c r="W1074">
        <v>4.8064989833288732E-2</v>
      </c>
      <c r="X1074">
        <v>6.9811659571290654E-3</v>
      </c>
      <c r="Y1074">
        <v>2.1862846862313666E-3</v>
      </c>
    </row>
    <row r="1075" spans="1:25" x14ac:dyDescent="0.25">
      <c r="A1075" s="1096"/>
      <c r="B1075" s="1455">
        <v>825</v>
      </c>
      <c r="C1075" s="1100">
        <v>0.99047470876645549</v>
      </c>
      <c r="D1075" s="1100">
        <v>0.95810462511318339</v>
      </c>
      <c r="E1075" s="1100">
        <v>0.99667788584609884</v>
      </c>
      <c r="F1075" s="1100">
        <v>1.0470721831738725</v>
      </c>
      <c r="G1075" s="1100">
        <v>1.0023421466332259</v>
      </c>
      <c r="H1075" s="1100">
        <v>1.0139137324111824</v>
      </c>
      <c r="I1075" s="1100">
        <v>1.0221594753941652</v>
      </c>
      <c r="K1075">
        <v>1.198393572682118</v>
      </c>
      <c r="L1075">
        <v>0</v>
      </c>
      <c r="M1075">
        <v>8.396381582162722E-4</v>
      </c>
      <c r="N1075">
        <v>7.6495570948346678E-2</v>
      </c>
      <c r="O1075">
        <v>1.0628088536291914E-2</v>
      </c>
      <c r="P1075">
        <v>1.4098784851411646E-2</v>
      </c>
      <c r="Q1075">
        <v>4.5996552518057845E-4</v>
      </c>
      <c r="R1075">
        <v>8.378040846988657E-4</v>
      </c>
      <c r="S1075">
        <v>7.7458798187324623E-2</v>
      </c>
      <c r="T1075">
        <v>0.86682212003230774</v>
      </c>
      <c r="U1075">
        <v>0</v>
      </c>
      <c r="V1075">
        <v>9.2433638679596419E-2</v>
      </c>
      <c r="W1075">
        <v>5.03518410264749E-2</v>
      </c>
      <c r="X1075">
        <v>7.3663724321910472E-3</v>
      </c>
      <c r="Y1075">
        <v>2.280226536508017E-3</v>
      </c>
    </row>
    <row r="1076" spans="1:25" x14ac:dyDescent="0.25">
      <c r="A1076" s="1096"/>
      <c r="B1076" s="1455">
        <v>826</v>
      </c>
      <c r="C1076" s="1100">
        <v>1.0032839523424129</v>
      </c>
      <c r="D1076" s="1100">
        <v>1.0326178758297853</v>
      </c>
      <c r="E1076" s="1100">
        <v>1.0208719007874945</v>
      </c>
      <c r="F1076" s="1100">
        <v>1.0260674877443783</v>
      </c>
      <c r="G1076" s="1100">
        <v>0.98285951449860276</v>
      </c>
      <c r="H1076" s="1100">
        <v>1.0229780977292386</v>
      </c>
      <c r="I1076" s="1100">
        <v>1.0132173242170792</v>
      </c>
      <c r="K1076">
        <v>1.1715104142518555</v>
      </c>
      <c r="L1076">
        <v>0</v>
      </c>
      <c r="M1076">
        <v>7.7186529536407559E-4</v>
      </c>
      <c r="N1076">
        <v>7.5651670461779674E-2</v>
      </c>
      <c r="O1076">
        <v>1.0190527440581743E-2</v>
      </c>
      <c r="P1076">
        <v>1.4017499670178483E-2</v>
      </c>
      <c r="Q1076">
        <v>4.5183257277217696E-4</v>
      </c>
      <c r="R1076">
        <v>7.7019420183674695E-4</v>
      </c>
      <c r="S1076">
        <v>7.3342191093133058E-2</v>
      </c>
      <c r="T1076">
        <v>0.84779685989517073</v>
      </c>
      <c r="U1076">
        <v>0</v>
      </c>
      <c r="V1076">
        <v>9.1285229482055849E-2</v>
      </c>
      <c r="W1076">
        <v>4.9090286161031817E-2</v>
      </c>
      <c r="X1076">
        <v>7.5897738457302369E-3</v>
      </c>
      <c r="Y1076">
        <v>2.0962147229492251E-3</v>
      </c>
    </row>
    <row r="1077" spans="1:25" x14ac:dyDescent="0.25">
      <c r="A1077" s="1096"/>
      <c r="B1077" s="1455">
        <v>827</v>
      </c>
      <c r="C1077" s="1100">
        <v>0.99887202311630141</v>
      </c>
      <c r="D1077" s="1100">
        <v>1.0128581709839428</v>
      </c>
      <c r="E1077" s="1100">
        <v>0.96398815418298389</v>
      </c>
      <c r="F1077" s="1100">
        <v>1.0155237651498648</v>
      </c>
      <c r="G1077" s="1100">
        <v>0.97994141137600443</v>
      </c>
      <c r="H1077" s="1100">
        <v>0.97892811759867426</v>
      </c>
      <c r="I1077" s="1100">
        <v>0.9878055126573817</v>
      </c>
      <c r="K1077">
        <v>1.1538026402699961</v>
      </c>
      <c r="L1077">
        <v>0</v>
      </c>
      <c r="M1077">
        <v>8.4116038507962355E-4</v>
      </c>
      <c r="N1077">
        <v>6.9412035568723537E-2</v>
      </c>
      <c r="O1077">
        <v>1.0296428026056431E-2</v>
      </c>
      <c r="P1077">
        <v>1.3330440513120019E-2</v>
      </c>
      <c r="Q1077">
        <v>4.3105165446875339E-4</v>
      </c>
      <c r="R1077">
        <v>8.3925732023682419E-4</v>
      </c>
      <c r="S1077">
        <v>7.0702943109536578E-2</v>
      </c>
      <c r="T1077">
        <v>0.84292359842642151</v>
      </c>
      <c r="U1077">
        <v>0</v>
      </c>
      <c r="V1077">
        <v>9.126073413284129E-2</v>
      </c>
      <c r="W1077">
        <v>4.6599831204762389E-2</v>
      </c>
      <c r="X1077">
        <v>6.5632989343235772E-3</v>
      </c>
      <c r="Y1077">
        <v>2.2841817645833738E-3</v>
      </c>
    </row>
    <row r="1078" spans="1:25" x14ac:dyDescent="0.25">
      <c r="A1078" s="1096"/>
      <c r="B1078" s="1455">
        <v>828</v>
      </c>
      <c r="C1078" s="1100">
        <v>1.0417201013789283</v>
      </c>
      <c r="D1078" s="1100">
        <v>0.97517400581665992</v>
      </c>
      <c r="E1078" s="1100">
        <v>0.98328953513175965</v>
      </c>
      <c r="F1078" s="1100">
        <v>1.0155285024113052</v>
      </c>
      <c r="G1078" s="1100">
        <v>1.0394715727513857</v>
      </c>
      <c r="H1078" s="1100">
        <v>1.0046670351874234</v>
      </c>
      <c r="I1078" s="1100">
        <v>0.99292521628930586</v>
      </c>
      <c r="K1078">
        <v>1.1554766830178005</v>
      </c>
      <c r="L1078">
        <v>0</v>
      </c>
      <c r="M1078">
        <v>8.0756991118226121E-4</v>
      </c>
      <c r="N1078">
        <v>7.0653836712780124E-2</v>
      </c>
      <c r="O1078">
        <v>1.0029890383137081E-2</v>
      </c>
      <c r="P1078">
        <v>1.3529177550336552E-2</v>
      </c>
      <c r="Q1078">
        <v>4.2824189221336834E-4</v>
      </c>
      <c r="R1078">
        <v>8.0578965068707671E-4</v>
      </c>
      <c r="S1078">
        <v>7.0518968621463646E-2</v>
      </c>
      <c r="T1078">
        <v>0.84161312671857957</v>
      </c>
      <c r="U1078">
        <v>0</v>
      </c>
      <c r="V1078">
        <v>9.2788984059839735E-2</v>
      </c>
      <c r="W1078">
        <v>4.688113428034061E-2</v>
      </c>
      <c r="X1078">
        <v>6.8420092589198045E-3</v>
      </c>
      <c r="Y1078">
        <v>2.1930938006832637E-3</v>
      </c>
    </row>
    <row r="1079" spans="1:25" x14ac:dyDescent="0.25">
      <c r="A1079" s="1096"/>
      <c r="B1079" s="1455">
        <v>829</v>
      </c>
      <c r="C1079" s="1100">
        <v>1.0024989481818374</v>
      </c>
      <c r="D1079" s="1100">
        <v>1.0015590745530096</v>
      </c>
      <c r="E1079" s="1100">
        <v>1.0031288625728698</v>
      </c>
      <c r="F1079" s="1100">
        <v>0.99759233469064068</v>
      </c>
      <c r="G1079" s="1100">
        <v>0.99925597053930992</v>
      </c>
      <c r="H1079" s="1100">
        <v>0.95888275448268068</v>
      </c>
      <c r="I1079" s="1100">
        <v>0.97140292266580475</v>
      </c>
      <c r="K1079">
        <v>1.1367808133373567</v>
      </c>
      <c r="L1079">
        <v>0</v>
      </c>
      <c r="M1079">
        <v>7.6050022144851155E-4</v>
      </c>
      <c r="N1079">
        <v>7.0640419536617552E-2</v>
      </c>
      <c r="O1079">
        <v>1.0318053529245563E-2</v>
      </c>
      <c r="P1079">
        <v>1.3478880176749105E-2</v>
      </c>
      <c r="Q1079">
        <v>4.4945289464129272E-4</v>
      </c>
      <c r="R1079">
        <v>7.5874367590412085E-4</v>
      </c>
      <c r="S1079">
        <v>6.8932494395410382E-2</v>
      </c>
      <c r="T1079">
        <v>0.82543398901256271</v>
      </c>
      <c r="U1079">
        <v>0</v>
      </c>
      <c r="V1079">
        <v>9.2002552378548708E-2</v>
      </c>
      <c r="W1079">
        <v>4.6319842382069223E-2</v>
      </c>
      <c r="X1079">
        <v>7.1418354110297467E-3</v>
      </c>
      <c r="Y1079">
        <v>2.0650501660254761E-3</v>
      </c>
    </row>
    <row r="1080" spans="1:25" x14ac:dyDescent="0.25">
      <c r="A1080" s="1096"/>
      <c r="B1080" s="1455">
        <v>830</v>
      </c>
      <c r="C1080" s="1100">
        <v>0.99991239223787898</v>
      </c>
      <c r="D1080" s="1100">
        <v>0.99509547624221018</v>
      </c>
      <c r="E1080" s="1100">
        <v>1.0102462226730835</v>
      </c>
      <c r="F1080" s="1100">
        <v>0.98748411807383174</v>
      </c>
      <c r="G1080" s="1100">
        <v>0.98743002576508732</v>
      </c>
      <c r="H1080" s="1100">
        <v>0.99818504403166064</v>
      </c>
      <c r="I1080" s="1100">
        <v>0.98902181734787831</v>
      </c>
      <c r="K1080">
        <v>1.1370771516842917</v>
      </c>
      <c r="L1080">
        <v>0</v>
      </c>
      <c r="M1080">
        <v>7.8410320708156909E-4</v>
      </c>
      <c r="N1080">
        <v>7.4421912105941929E-2</v>
      </c>
      <c r="O1080">
        <v>1.0373906153202593E-2</v>
      </c>
      <c r="P1080">
        <v>1.3467818379680309E-2</v>
      </c>
      <c r="Q1080">
        <v>4.5511829503278782E-4</v>
      </c>
      <c r="R1080">
        <v>7.8236345345851488E-4</v>
      </c>
      <c r="S1080">
        <v>7.2192825497614535E-2</v>
      </c>
      <c r="T1080">
        <v>0.81660640332792689</v>
      </c>
      <c r="U1080">
        <v>0</v>
      </c>
      <c r="V1080">
        <v>9.1562088451636214E-2</v>
      </c>
      <c r="W1080">
        <v>4.859450387525794E-2</v>
      </c>
      <c r="X1080">
        <v>7.2749799373494732E-3</v>
      </c>
      <c r="Y1080">
        <v>2.1293354142709595E-3</v>
      </c>
    </row>
    <row r="1081" spans="1:25" x14ac:dyDescent="0.25">
      <c r="A1081" s="1096"/>
      <c r="B1081" s="1455">
        <v>831</v>
      </c>
      <c r="C1081" s="1100">
        <v>1.0149565369628204</v>
      </c>
      <c r="D1081" s="1100">
        <v>1.0040550149638565</v>
      </c>
      <c r="E1081" s="1100">
        <v>1.0048173783120267</v>
      </c>
      <c r="F1081" s="1100">
        <v>1.018995309977317</v>
      </c>
      <c r="G1081" s="1100">
        <v>1.022970414807137</v>
      </c>
      <c r="H1081" s="1100">
        <v>1.0055180549075486</v>
      </c>
      <c r="I1081" s="1100">
        <v>0.99918480199176496</v>
      </c>
      <c r="K1081">
        <v>1.1625384518592756</v>
      </c>
      <c r="L1081">
        <v>0</v>
      </c>
      <c r="M1081">
        <v>7.841619467126652E-4</v>
      </c>
      <c r="N1081">
        <v>7.3218557268893758E-2</v>
      </c>
      <c r="O1081">
        <v>1.018181224415133E-2</v>
      </c>
      <c r="P1081">
        <v>1.3785682047031341E-2</v>
      </c>
      <c r="Q1081">
        <v>4.4426999427840111E-4</v>
      </c>
      <c r="R1081">
        <v>7.8243475133092763E-4</v>
      </c>
      <c r="S1081">
        <v>7.1810633765670484E-2</v>
      </c>
      <c r="T1081">
        <v>0.84302968077444174</v>
      </c>
      <c r="U1081">
        <v>0</v>
      </c>
      <c r="V1081">
        <v>9.2713154005133372E-2</v>
      </c>
      <c r="W1081">
        <v>4.796235435326239E-2</v>
      </c>
      <c r="X1081">
        <v>7.2645051382167923E-3</v>
      </c>
      <c r="Y1081">
        <v>2.1295294635763286E-3</v>
      </c>
    </row>
    <row r="1082" spans="1:25" x14ac:dyDescent="0.25">
      <c r="A1082" s="1096"/>
      <c r="B1082" s="1455">
        <v>832</v>
      </c>
      <c r="C1082" s="1100">
        <v>1.0111708149962835</v>
      </c>
      <c r="D1082" s="1100">
        <v>1.0063962925471799</v>
      </c>
      <c r="E1082" s="1100">
        <v>1.0307441901419838</v>
      </c>
      <c r="F1082" s="1100">
        <v>0.99185657831636154</v>
      </c>
      <c r="G1082" s="1100">
        <v>0.98173816169004136</v>
      </c>
      <c r="H1082" s="1100">
        <v>1.0140396606887816</v>
      </c>
      <c r="I1082" s="1100">
        <v>1.0099196968264204</v>
      </c>
      <c r="K1082">
        <v>1.1419510287332781</v>
      </c>
      <c r="L1082">
        <v>0</v>
      </c>
      <c r="M1082">
        <v>7.5139642694719189E-4</v>
      </c>
      <c r="N1082">
        <v>7.586941280036831E-2</v>
      </c>
      <c r="O1082">
        <v>1.0218808464165069E-2</v>
      </c>
      <c r="P1082">
        <v>1.3709695583263492E-2</v>
      </c>
      <c r="Q1082">
        <v>4.5754089747657584E-4</v>
      </c>
      <c r="R1082">
        <v>7.4975530912375161E-4</v>
      </c>
      <c r="S1082">
        <v>7.3142965301510404E-2</v>
      </c>
      <c r="T1082">
        <v>0.81888972917539016</v>
      </c>
      <c r="U1082">
        <v>0</v>
      </c>
      <c r="V1082">
        <v>9.1046316151741941E-2</v>
      </c>
      <c r="W1082">
        <v>4.8949332632345688E-2</v>
      </c>
      <c r="X1082">
        <v>7.6282820501755366E-3</v>
      </c>
      <c r="Y1082">
        <v>2.0405867946636236E-3</v>
      </c>
    </row>
    <row r="1083" spans="1:25" x14ac:dyDescent="0.25">
      <c r="A1083" s="1096"/>
      <c r="B1083" s="1455">
        <v>833</v>
      </c>
      <c r="C1083" s="1100">
        <v>1.0033367843340129</v>
      </c>
      <c r="D1083" s="1100">
        <v>0.97568295395972415</v>
      </c>
      <c r="E1083" s="1100">
        <v>1.021345310457541</v>
      </c>
      <c r="F1083" s="1100">
        <v>1.0079428274574669</v>
      </c>
      <c r="G1083" s="1100">
        <v>0.97839746734242616</v>
      </c>
      <c r="H1083" s="1100">
        <v>1.0129090168097186</v>
      </c>
      <c r="I1083" s="1100">
        <v>1.0243279114618182</v>
      </c>
      <c r="K1083">
        <v>1.1606139876791661</v>
      </c>
      <c r="L1083">
        <v>0</v>
      </c>
      <c r="M1083">
        <v>7.8099321675503765E-4</v>
      </c>
      <c r="N1083">
        <v>7.6654049023509543E-2</v>
      </c>
      <c r="O1083">
        <v>1.0423958678485E-2</v>
      </c>
      <c r="P1083">
        <v>1.384740915311192E-2</v>
      </c>
      <c r="Q1083">
        <v>4.6239999962330313E-4</v>
      </c>
      <c r="R1083">
        <v>7.7928555283528537E-4</v>
      </c>
      <c r="S1083">
        <v>7.5904263850039358E-2</v>
      </c>
      <c r="T1083">
        <v>0.83278994294163267</v>
      </c>
      <c r="U1083">
        <v>0</v>
      </c>
      <c r="V1083">
        <v>9.1093305318188281E-2</v>
      </c>
      <c r="W1083">
        <v>4.9726965740505856E-2</v>
      </c>
      <c r="X1083">
        <v>7.5924422545855909E-3</v>
      </c>
      <c r="Y1083">
        <v>2.120958383404196E-3</v>
      </c>
    </row>
    <row r="1084" spans="1:25" x14ac:dyDescent="0.25">
      <c r="A1084" s="1096"/>
      <c r="B1084" s="1455">
        <v>834</v>
      </c>
      <c r="C1084" s="1100">
        <v>1.0040026884431383</v>
      </c>
      <c r="D1084" s="1100">
        <v>0.98012075218158046</v>
      </c>
      <c r="E1084" s="1100">
        <v>1.0312643868847278</v>
      </c>
      <c r="F1084" s="1100">
        <v>1.0404593500390114</v>
      </c>
      <c r="G1084" s="1100">
        <v>1.0152951709467422</v>
      </c>
      <c r="H1084" s="1100">
        <v>1.0331727713115906</v>
      </c>
      <c r="I1084" s="1100">
        <v>0.97966086748303871</v>
      </c>
      <c r="K1084">
        <v>1.1895204872424676</v>
      </c>
      <c r="L1084">
        <v>0</v>
      </c>
      <c r="M1084">
        <v>7.7839803242222129E-4</v>
      </c>
      <c r="N1084">
        <v>7.8722327961685656E-2</v>
      </c>
      <c r="O1084">
        <v>1.0401425387109997E-2</v>
      </c>
      <c r="P1084">
        <v>1.4297366651385408E-2</v>
      </c>
      <c r="Q1084">
        <v>4.6595691382713344E-4</v>
      </c>
      <c r="R1084">
        <v>7.7672942429211466E-4</v>
      </c>
      <c r="S1084">
        <v>7.3200415036971056E-2</v>
      </c>
      <c r="T1084">
        <v>0.85898152248008774</v>
      </c>
      <c r="U1084">
        <v>0</v>
      </c>
      <c r="V1084">
        <v>9.2655486600506751E-2</v>
      </c>
      <c r="W1084">
        <v>5.0774650631916642E-2</v>
      </c>
      <c r="X1084">
        <v>7.9090027429696355E-3</v>
      </c>
      <c r="Y1084">
        <v>2.1140014441372325E-3</v>
      </c>
    </row>
    <row r="1085" spans="1:25" x14ac:dyDescent="0.25">
      <c r="A1085" s="1096"/>
      <c r="B1085" s="1455">
        <v>835</v>
      </c>
      <c r="C1085" s="1100">
        <v>0.99450445113464236</v>
      </c>
      <c r="D1085" s="1100">
        <v>1.0246708939894313</v>
      </c>
      <c r="E1085" s="1100">
        <v>1.0033668575474219</v>
      </c>
      <c r="F1085" s="1100">
        <v>0.98697515873371988</v>
      </c>
      <c r="G1085" s="1100">
        <v>1.0010752253699795</v>
      </c>
      <c r="H1085" s="1100">
        <v>1.0193423260760941</v>
      </c>
      <c r="I1085" s="1100">
        <v>0.98335198416011271</v>
      </c>
      <c r="K1085">
        <v>1.1385759572730356</v>
      </c>
      <c r="L1085">
        <v>0</v>
      </c>
      <c r="M1085">
        <v>8.0714850955002646E-4</v>
      </c>
      <c r="N1085">
        <v>7.5037646125848886E-2</v>
      </c>
      <c r="O1085">
        <v>1.0306592590680839E-2</v>
      </c>
      <c r="P1085">
        <v>1.3405769742596978E-2</v>
      </c>
      <c r="Q1085">
        <v>4.4906087994469419E-4</v>
      </c>
      <c r="R1085">
        <v>8.0539479474127298E-4</v>
      </c>
      <c r="S1085">
        <v>7.19276614928758E-2</v>
      </c>
      <c r="T1085">
        <v>0.81663353347971535</v>
      </c>
      <c r="U1085">
        <v>0</v>
      </c>
      <c r="V1085">
        <v>9.2279099285499891E-2</v>
      </c>
      <c r="W1085">
        <v>4.9196219542760572E-2</v>
      </c>
      <c r="X1085">
        <v>7.1501087149577558E-3</v>
      </c>
      <c r="Y1085">
        <v>2.1920191329630125E-3</v>
      </c>
    </row>
    <row r="1086" spans="1:25" x14ac:dyDescent="0.25">
      <c r="A1086" s="1096"/>
      <c r="B1086" s="1455">
        <v>836</v>
      </c>
      <c r="C1086" s="1100">
        <v>1.0164600746675128</v>
      </c>
      <c r="D1086" s="1100">
        <v>1.0211763618044043</v>
      </c>
      <c r="E1086" s="1100">
        <v>0.99492129059763912</v>
      </c>
      <c r="F1086" s="1100">
        <v>1.003948156066909</v>
      </c>
      <c r="G1086" s="1100">
        <v>1.0046357911313699</v>
      </c>
      <c r="H1086" s="1100">
        <v>0.97539261722026227</v>
      </c>
      <c r="I1086" s="1100">
        <v>0.99700269830238131</v>
      </c>
      <c r="K1086">
        <v>1.1417103492212026</v>
      </c>
      <c r="L1086">
        <v>0</v>
      </c>
      <c r="M1086">
        <v>7.7006959651667727E-4</v>
      </c>
      <c r="N1086">
        <v>6.978000825236283E-2</v>
      </c>
      <c r="O1086">
        <v>1.0095061966690917E-2</v>
      </c>
      <c r="P1086">
        <v>1.3484557140528455E-2</v>
      </c>
      <c r="Q1086">
        <v>4.3612450656335699E-4</v>
      </c>
      <c r="R1086">
        <v>7.6832105442640769E-4</v>
      </c>
      <c r="S1086">
        <v>6.9726975794705673E-2</v>
      </c>
      <c r="T1086">
        <v>0.83123874761522643</v>
      </c>
      <c r="U1086">
        <v>0</v>
      </c>
      <c r="V1086">
        <v>9.189184190061081E-2</v>
      </c>
      <c r="W1086">
        <v>4.5979580121341686E-2</v>
      </c>
      <c r="X1086">
        <v>6.9880838320815443E-3</v>
      </c>
      <c r="Y1086">
        <v>2.0911166331811603E-3</v>
      </c>
    </row>
    <row r="1087" spans="1:25" x14ac:dyDescent="0.25">
      <c r="A1087" s="1096"/>
      <c r="B1087" s="1455">
        <v>837</v>
      </c>
      <c r="C1087" s="1100">
        <v>0.98862250250925121</v>
      </c>
      <c r="D1087" s="1100">
        <v>0.98991376314555346</v>
      </c>
      <c r="E1087" s="1100">
        <v>0.96505402629158232</v>
      </c>
      <c r="F1087" s="1100">
        <v>0.96708633021719415</v>
      </c>
      <c r="G1087" s="1100">
        <v>0.98852514141035774</v>
      </c>
      <c r="H1087" s="1100">
        <v>0.9891003030411839</v>
      </c>
      <c r="I1087" s="1100">
        <v>0.97304574584052272</v>
      </c>
      <c r="K1087">
        <v>1.1183203701180848</v>
      </c>
      <c r="L1087">
        <v>0</v>
      </c>
      <c r="M1087">
        <v>8.6471584478493423E-4</v>
      </c>
      <c r="N1087">
        <v>7.1588241736334102E-2</v>
      </c>
      <c r="O1087">
        <v>1.0499316462777325E-2</v>
      </c>
      <c r="P1087">
        <v>1.2827196031115023E-2</v>
      </c>
      <c r="Q1087">
        <v>4.4002598678407945E-4</v>
      </c>
      <c r="R1087">
        <v>8.6277960713852396E-4</v>
      </c>
      <c r="S1087">
        <v>7.1613255086005884E-2</v>
      </c>
      <c r="T1087">
        <v>0.80264924729137954</v>
      </c>
      <c r="U1087">
        <v>0</v>
      </c>
      <c r="V1087">
        <v>9.1885139188968235E-2</v>
      </c>
      <c r="W1087">
        <v>4.8029525024889705E-2</v>
      </c>
      <c r="X1087">
        <v>6.4421578720676199E-3</v>
      </c>
      <c r="Y1087">
        <v>2.3482016754100069E-3</v>
      </c>
    </row>
    <row r="1088" spans="1:25" x14ac:dyDescent="0.25">
      <c r="A1088" s="1096"/>
      <c r="B1088" s="1455">
        <v>838</v>
      </c>
      <c r="C1088" s="1100">
        <v>1.0118461577218945</v>
      </c>
      <c r="D1088" s="1100">
        <v>1.0123931941770439</v>
      </c>
      <c r="E1088" s="1100">
        <v>1.0267804021343556</v>
      </c>
      <c r="F1088" s="1100">
        <v>0.98936086428839443</v>
      </c>
      <c r="G1088" s="1100">
        <v>0.98018778808931406</v>
      </c>
      <c r="H1088" s="1100">
        <v>0.98764561412712293</v>
      </c>
      <c r="I1088" s="1100">
        <v>0.98613674807978291</v>
      </c>
      <c r="K1088">
        <v>1.1327534349555477</v>
      </c>
      <c r="L1088">
        <v>0</v>
      </c>
      <c r="M1088">
        <v>7.3566442078152304E-4</v>
      </c>
      <c r="N1088">
        <v>7.3394249446740001E-2</v>
      </c>
      <c r="O1088">
        <v>1.0186467281955429E-2</v>
      </c>
      <c r="P1088">
        <v>1.3601723231685929E-2</v>
      </c>
      <c r="Q1088">
        <v>4.5430771130383499E-4</v>
      </c>
      <c r="R1088">
        <v>7.3401472375733657E-4</v>
      </c>
      <c r="S1088">
        <v>7.010957331509568E-2</v>
      </c>
      <c r="T1088">
        <v>0.81708520916256699</v>
      </c>
      <c r="U1088">
        <v>0</v>
      </c>
      <c r="V1088">
        <v>9.0962983943060932E-2</v>
      </c>
      <c r="W1088">
        <v>4.7461593786242998E-2</v>
      </c>
      <c r="X1088">
        <v>7.5012306637399677E-3</v>
      </c>
      <c r="Y1088">
        <v>1.997746110178813E-3</v>
      </c>
    </row>
    <row r="1089" spans="1:25" x14ac:dyDescent="0.25">
      <c r="A1089" s="1096"/>
      <c r="B1089" s="1455">
        <v>839</v>
      </c>
      <c r="C1089" s="1100">
        <v>0.98176296102323546</v>
      </c>
      <c r="D1089" s="1100">
        <v>1.0125707691771242</v>
      </c>
      <c r="E1089" s="1100">
        <v>1.0235900466329964</v>
      </c>
      <c r="F1089" s="1100">
        <v>1.0153184127127381</v>
      </c>
      <c r="G1089" s="1100">
        <v>0.99877269595183615</v>
      </c>
      <c r="H1089" s="1100">
        <v>1.0006547930928393</v>
      </c>
      <c r="I1089" s="1100">
        <v>0.97818425329635494</v>
      </c>
      <c r="K1089">
        <v>1.1639864802008404</v>
      </c>
      <c r="L1089">
        <v>0</v>
      </c>
      <c r="M1089">
        <v>7.7325971580734145E-4</v>
      </c>
      <c r="N1089">
        <v>7.640856240848852E-2</v>
      </c>
      <c r="O1089">
        <v>1.0496802339872692E-2</v>
      </c>
      <c r="P1089">
        <v>1.3920694611695105E-2</v>
      </c>
      <c r="Q1089">
        <v>4.6667014273523821E-4</v>
      </c>
      <c r="R1089">
        <v>7.7154825608278773E-4</v>
      </c>
      <c r="S1089">
        <v>7.2189907121591623E-2</v>
      </c>
      <c r="T1089">
        <v>0.83873462400067345</v>
      </c>
      <c r="U1089">
        <v>0</v>
      </c>
      <c r="V1089">
        <v>9.2507497586904769E-2</v>
      </c>
      <c r="W1089">
        <v>4.9502785751083328E-2</v>
      </c>
      <c r="X1089">
        <v>7.6607476852771821E-3</v>
      </c>
      <c r="Y1089">
        <v>2.0999000122430855E-3</v>
      </c>
    </row>
    <row r="1090" spans="1:25" x14ac:dyDescent="0.25">
      <c r="A1090" s="1096"/>
      <c r="B1090" s="1455">
        <v>840</v>
      </c>
      <c r="C1090" s="1100">
        <v>1.0043424681427768</v>
      </c>
      <c r="D1090" s="1100">
        <v>1.0220946417385137</v>
      </c>
      <c r="E1090" s="1100">
        <v>1.0266875007601224</v>
      </c>
      <c r="F1090" s="1100">
        <v>0.98173559266613208</v>
      </c>
      <c r="G1090" s="1100">
        <v>0.97903561930055116</v>
      </c>
      <c r="H1090" s="1100">
        <v>0.97111936640212471</v>
      </c>
      <c r="I1090" s="1100">
        <v>0.95922011594956591</v>
      </c>
      <c r="K1090">
        <v>1.1224624881837435</v>
      </c>
      <c r="L1090">
        <v>0</v>
      </c>
      <c r="M1090">
        <v>7.2612462074355907E-4</v>
      </c>
      <c r="N1090">
        <v>7.241944229689716E-2</v>
      </c>
      <c r="O1090">
        <v>1.0223467402503126E-2</v>
      </c>
      <c r="P1090">
        <v>1.3482118697174299E-2</v>
      </c>
      <c r="Q1090">
        <v>4.5591593149768838E-4</v>
      </c>
      <c r="R1090">
        <v>7.2446860628037782E-4</v>
      </c>
      <c r="S1090">
        <v>6.7732757216006564E-2</v>
      </c>
      <c r="T1090">
        <v>0.81079367173994465</v>
      </c>
      <c r="U1090">
        <v>0</v>
      </c>
      <c r="V1090">
        <v>9.1096798273640756E-2</v>
      </c>
      <c r="W1090">
        <v>4.6833750790508465E-2</v>
      </c>
      <c r="X1090">
        <v>7.4544571247505357E-3</v>
      </c>
      <c r="Y1090">
        <v>1.9717647252833126E-3</v>
      </c>
    </row>
    <row r="1091" spans="1:25" x14ac:dyDescent="0.25">
      <c r="A1091" s="1096"/>
      <c r="B1091" s="1455">
        <v>841</v>
      </c>
      <c r="C1091" s="1100">
        <v>0.97785559961377588</v>
      </c>
      <c r="D1091" s="1100">
        <v>1.0179016608753968</v>
      </c>
      <c r="E1091" s="1100">
        <v>0.9958794298594611</v>
      </c>
      <c r="F1091" s="1100">
        <v>0.97919336144516789</v>
      </c>
      <c r="G1091" s="1100">
        <v>1.0101836881338628</v>
      </c>
      <c r="H1091" s="1100">
        <v>0.96041815803613373</v>
      </c>
      <c r="I1091" s="1100">
        <v>0.99900461096671067</v>
      </c>
      <c r="K1091">
        <v>1.1279871554110938</v>
      </c>
      <c r="L1091">
        <v>0</v>
      </c>
      <c r="M1091">
        <v>7.8762939141107996E-4</v>
      </c>
      <c r="N1091">
        <v>7.1575623448620479E-2</v>
      </c>
      <c r="O1091">
        <v>1.0507410781299194E-2</v>
      </c>
      <c r="P1091">
        <v>1.326387767133913E-2</v>
      </c>
      <c r="Q1091">
        <v>4.543772195143074E-4</v>
      </c>
      <c r="R1091">
        <v>7.8581309330740489E-4</v>
      </c>
      <c r="S1091">
        <v>7.21285072396326E-2</v>
      </c>
      <c r="T1091">
        <v>0.81068027213106364</v>
      </c>
      <c r="U1091">
        <v>0</v>
      </c>
      <c r="V1091">
        <v>9.3091666712811119E-2</v>
      </c>
      <c r="W1091">
        <v>4.7135802803520997E-2</v>
      </c>
      <c r="X1091">
        <v>7.0127095046296937E-3</v>
      </c>
      <c r="Y1091">
        <v>2.1387241967661661E-3</v>
      </c>
    </row>
    <row r="1092" spans="1:25" x14ac:dyDescent="0.25">
      <c r="A1092" s="1096"/>
      <c r="B1092" s="1455">
        <v>842</v>
      </c>
      <c r="C1092" s="1100">
        <v>0.99268478729218801</v>
      </c>
      <c r="D1092" s="1100">
        <v>0.99626901385279254</v>
      </c>
      <c r="E1092" s="1100">
        <v>1.0123244308894024</v>
      </c>
      <c r="F1092" s="1100">
        <v>1.0160874983982553</v>
      </c>
      <c r="G1092" s="1100">
        <v>0.99888572559108735</v>
      </c>
      <c r="H1092" s="1100">
        <v>0.97648402172781368</v>
      </c>
      <c r="I1092" s="1100">
        <v>0.97501628026737652</v>
      </c>
      <c r="K1092">
        <v>1.1586829491224437</v>
      </c>
      <c r="L1092">
        <v>0</v>
      </c>
      <c r="M1092">
        <v>7.6894932355661097E-4</v>
      </c>
      <c r="N1092">
        <v>7.3439278736099997E-2</v>
      </c>
      <c r="O1092">
        <v>1.044519937240505E-2</v>
      </c>
      <c r="P1092">
        <v>1.3801764766424853E-2</v>
      </c>
      <c r="Q1092">
        <v>4.5919833172389463E-4</v>
      </c>
      <c r="R1092">
        <v>7.6720527667170667E-4</v>
      </c>
      <c r="S1092">
        <v>7.0779079607741033E-2</v>
      </c>
      <c r="T1092">
        <v>0.84012112580345855</v>
      </c>
      <c r="U1092">
        <v>0</v>
      </c>
      <c r="V1092">
        <v>9.2232604491463629E-2</v>
      </c>
      <c r="W1092">
        <v>4.7894214533965904E-2</v>
      </c>
      <c r="X1092">
        <v>7.4241476720966022E-3</v>
      </c>
      <c r="Y1092">
        <v>2.0880798539489012E-3</v>
      </c>
    </row>
    <row r="1093" spans="1:25" x14ac:dyDescent="0.25">
      <c r="A1093" s="1096"/>
      <c r="B1093" s="1455">
        <v>843</v>
      </c>
      <c r="C1093" s="1100">
        <v>0.9741096610808393</v>
      </c>
      <c r="D1093" s="1100">
        <v>1.0202152265489335</v>
      </c>
      <c r="E1093" s="1100">
        <v>1.0000535766428555</v>
      </c>
      <c r="F1093" s="1100">
        <v>1.0174994931908441</v>
      </c>
      <c r="G1093" s="1100">
        <v>0.96869905240560539</v>
      </c>
      <c r="H1093" s="1100">
        <v>0.98531794557298158</v>
      </c>
      <c r="I1093" s="1100">
        <v>1.0200146376705619</v>
      </c>
      <c r="K1093">
        <v>1.1651306380190025</v>
      </c>
      <c r="L1093">
        <v>0</v>
      </c>
      <c r="M1093">
        <v>8.0343601774951934E-4</v>
      </c>
      <c r="N1093">
        <v>7.3943089678419047E-2</v>
      </c>
      <c r="O1093">
        <v>1.0539633582157088E-2</v>
      </c>
      <c r="P1093">
        <v>1.3748793532212361E-2</v>
      </c>
      <c r="Q1093">
        <v>4.5768913413865364E-4</v>
      </c>
      <c r="R1093">
        <v>8.0163008953844351E-4</v>
      </c>
      <c r="S1093">
        <v>7.4899453004862587E-2</v>
      </c>
      <c r="T1093">
        <v>0.84211269275136069</v>
      </c>
      <c r="U1093">
        <v>0</v>
      </c>
      <c r="V1093">
        <v>9.1416152996220398E-2</v>
      </c>
      <c r="W1093">
        <v>4.8574036596965027E-2</v>
      </c>
      <c r="X1093">
        <v>7.2591298244403316E-3</v>
      </c>
      <c r="Y1093">
        <v>2.1817728464356479E-3</v>
      </c>
    </row>
    <row r="1094" spans="1:25" x14ac:dyDescent="0.25">
      <c r="A1094" s="1096"/>
      <c r="B1094" s="1455">
        <v>844</v>
      </c>
      <c r="C1094" s="1100">
        <v>1.0462807869429465</v>
      </c>
      <c r="D1094" s="1100">
        <v>1.0012017386475232</v>
      </c>
      <c r="E1094" s="1100">
        <v>0.98659215462439043</v>
      </c>
      <c r="F1094" s="1100">
        <v>0.99063640236602268</v>
      </c>
      <c r="G1094" s="1100">
        <v>1.0057236597512933</v>
      </c>
      <c r="H1094" s="1100">
        <v>1.0014334510284455</v>
      </c>
      <c r="I1094" s="1100">
        <v>1.0287373629729444</v>
      </c>
      <c r="K1094">
        <v>1.1318304113186275</v>
      </c>
      <c r="L1094">
        <v>0</v>
      </c>
      <c r="M1094">
        <v>7.8766019224324046E-4</v>
      </c>
      <c r="N1094">
        <v>6.9603259170645665E-2</v>
      </c>
      <c r="O1094">
        <v>9.8825373046893209E-3</v>
      </c>
      <c r="P1094">
        <v>1.3276006204876267E-2</v>
      </c>
      <c r="Q1094">
        <v>4.2336529544645862E-4</v>
      </c>
      <c r="R1094">
        <v>7.8591821538630203E-4</v>
      </c>
      <c r="S1094">
        <v>7.1641446787506904E-2</v>
      </c>
      <c r="T1094">
        <v>0.82076575210906022</v>
      </c>
      <c r="U1094">
        <v>0</v>
      </c>
      <c r="V1094">
        <v>9.1242493339991931E-2</v>
      </c>
      <c r="W1094">
        <v>4.609239235418524E-2</v>
      </c>
      <c r="X1094">
        <v>6.7658904246698792E-3</v>
      </c>
      <c r="Y1094">
        <v>2.1390103044114407E-3</v>
      </c>
    </row>
    <row r="1095" spans="1:25" x14ac:dyDescent="0.25">
      <c r="A1095" s="1096"/>
      <c r="B1095" s="1455">
        <v>845</v>
      </c>
      <c r="C1095" s="1100">
        <v>0.97495896230629231</v>
      </c>
      <c r="D1095" s="1100">
        <v>1.004085537475528</v>
      </c>
      <c r="E1095" s="1100">
        <v>0.98518993376478314</v>
      </c>
      <c r="F1095" s="1100">
        <v>0.97723589400451172</v>
      </c>
      <c r="G1095" s="1100">
        <v>1.0081127813487194</v>
      </c>
      <c r="H1095" s="1100">
        <v>0.98999833006550719</v>
      </c>
      <c r="I1095" s="1100">
        <v>1.0162061533618207</v>
      </c>
      <c r="K1095">
        <v>1.1340265245547916</v>
      </c>
      <c r="L1095">
        <v>0</v>
      </c>
      <c r="M1095">
        <v>8.370934550160278E-4</v>
      </c>
      <c r="N1095">
        <v>7.3656613520407921E-2</v>
      </c>
      <c r="O1095">
        <v>1.0592817885539351E-2</v>
      </c>
      <c r="P1095">
        <v>1.3188282123431226E-2</v>
      </c>
      <c r="Q1095">
        <v>4.5314934796643938E-4</v>
      </c>
      <c r="R1095">
        <v>8.3522076859164109E-4</v>
      </c>
      <c r="S1095">
        <v>7.5348045188062429E-2</v>
      </c>
      <c r="T1095">
        <v>0.8097544594393693</v>
      </c>
      <c r="U1095">
        <v>0</v>
      </c>
      <c r="V1095">
        <v>9.3076847792198908E-2</v>
      </c>
      <c r="W1095">
        <v>4.8817712363264022E-2</v>
      </c>
      <c r="X1095">
        <v>6.8672739793212943E-3</v>
      </c>
      <c r="Y1095">
        <v>2.2731956016540781E-3</v>
      </c>
    </row>
    <row r="1096" spans="1:25" x14ac:dyDescent="0.25">
      <c r="A1096" s="1096"/>
      <c r="B1096" s="1455">
        <v>846</v>
      </c>
      <c r="C1096" s="1100">
        <v>0.99072445776176765</v>
      </c>
      <c r="D1096" s="1100">
        <v>1.0429873753947656</v>
      </c>
      <c r="E1096" s="1100">
        <v>1.0107256986455377</v>
      </c>
      <c r="F1096" s="1100">
        <v>0.95855451162761984</v>
      </c>
      <c r="G1096" s="1100">
        <v>0.96308268071972403</v>
      </c>
      <c r="H1096" s="1100">
        <v>0.96584816604809121</v>
      </c>
      <c r="I1096" s="1100">
        <v>0.98752790027210491</v>
      </c>
      <c r="K1096">
        <v>1.1040322534194031</v>
      </c>
      <c r="L1096">
        <v>0</v>
      </c>
      <c r="M1096">
        <v>7.5072648688926161E-4</v>
      </c>
      <c r="N1096">
        <v>7.1351914885321582E-2</v>
      </c>
      <c r="O1096">
        <v>1.0275246642201313E-2</v>
      </c>
      <c r="P1096">
        <v>1.3098443811608082E-2</v>
      </c>
      <c r="Q1096">
        <v>4.5100601802165459E-4</v>
      </c>
      <c r="R1096">
        <v>7.4900502085912179E-4</v>
      </c>
      <c r="S1096">
        <v>6.9729965804933583E-2</v>
      </c>
      <c r="T1096">
        <v>0.79265260561332673</v>
      </c>
      <c r="U1096">
        <v>0</v>
      </c>
      <c r="V1096">
        <v>9.0751303053535237E-2</v>
      </c>
      <c r="W1096">
        <v>4.6576753916391885E-2</v>
      </c>
      <c r="X1096">
        <v>7.1081903827535419E-3</v>
      </c>
      <c r="Y1096">
        <v>2.0385447573397619E-3</v>
      </c>
    </row>
    <row r="1097" spans="1:25" x14ac:dyDescent="0.25">
      <c r="A1097" s="1096"/>
      <c r="B1097" s="1455">
        <v>847</v>
      </c>
      <c r="C1097" s="1100">
        <v>1.0115843003298222</v>
      </c>
      <c r="D1097" s="1100">
        <v>1.0158607537780089</v>
      </c>
      <c r="E1097" s="1100">
        <v>1.0359647447362541</v>
      </c>
      <c r="F1097" s="1100">
        <v>1.0297246140724017</v>
      </c>
      <c r="G1097" s="1100">
        <v>1.0137317411163858</v>
      </c>
      <c r="H1097" s="1100">
        <v>1.0147407112283733</v>
      </c>
      <c r="I1097" s="1100">
        <v>0.98453063829612286</v>
      </c>
      <c r="K1097">
        <v>1.1727078154080874</v>
      </c>
      <c r="L1097">
        <v>0</v>
      </c>
      <c r="M1097">
        <v>7.4069401729471326E-4</v>
      </c>
      <c r="N1097">
        <v>7.5974915487108566E-2</v>
      </c>
      <c r="O1097">
        <v>1.0178144892230572E-2</v>
      </c>
      <c r="P1097">
        <v>1.4182913350012507E-2</v>
      </c>
      <c r="Q1097">
        <v>4.5807416104729105E-4</v>
      </c>
      <c r="R1097">
        <v>7.390773921474678E-4</v>
      </c>
      <c r="S1097">
        <v>7.0967753724582389E-2</v>
      </c>
      <c r="T1097">
        <v>0.84980398585427774</v>
      </c>
      <c r="U1097">
        <v>0</v>
      </c>
      <c r="V1097">
        <v>9.2404345154938478E-2</v>
      </c>
      <c r="W1097">
        <v>4.8869472020060624E-2</v>
      </c>
      <c r="X1097">
        <v>7.8583023643470553E-3</v>
      </c>
      <c r="Y1097">
        <v>2.0115250246285649E-3</v>
      </c>
    </row>
    <row r="1098" spans="1:25" x14ac:dyDescent="0.25">
      <c r="A1098" s="1096"/>
      <c r="B1098" s="1455">
        <v>848</v>
      </c>
      <c r="C1098" s="1100">
        <v>1.0230456193237598</v>
      </c>
      <c r="D1098" s="1100">
        <v>0.96796500468986602</v>
      </c>
      <c r="E1098" s="1100">
        <v>0.9826917697815416</v>
      </c>
      <c r="F1098" s="1100">
        <v>0.97939693786654802</v>
      </c>
      <c r="G1098" s="1100">
        <v>0.98683778202684236</v>
      </c>
      <c r="H1098" s="1100">
        <v>1.0114325574277534</v>
      </c>
      <c r="I1098" s="1100">
        <v>1.0002881353328015</v>
      </c>
      <c r="K1098">
        <v>1.1291686052198517</v>
      </c>
      <c r="L1098">
        <v>0</v>
      </c>
      <c r="M1098">
        <v>8.3133679011437693E-4</v>
      </c>
      <c r="N1098">
        <v>7.2602860498594532E-2</v>
      </c>
      <c r="O1098">
        <v>1.0243137978616215E-2</v>
      </c>
      <c r="P1098">
        <v>1.3128130032406888E-2</v>
      </c>
      <c r="Q1098">
        <v>4.3708163694768153E-4</v>
      </c>
      <c r="R1098">
        <v>8.2951639505165272E-4</v>
      </c>
      <c r="S1098">
        <v>7.2886872887207049E-2</v>
      </c>
      <c r="T1098">
        <v>0.81170839221619351</v>
      </c>
      <c r="U1098">
        <v>0</v>
      </c>
      <c r="V1098">
        <v>9.0972212007187928E-2</v>
      </c>
      <c r="W1098">
        <v>4.8191725635111059E-2</v>
      </c>
      <c r="X1098">
        <v>6.7423425453239051E-3</v>
      </c>
      <c r="Y1098">
        <v>2.2576701773244609E-3</v>
      </c>
    </row>
    <row r="1099" spans="1:25" x14ac:dyDescent="0.25">
      <c r="A1099" s="1096"/>
      <c r="B1099" s="1455">
        <v>849</v>
      </c>
      <c r="C1099" s="1100">
        <v>1.0013569442146739</v>
      </c>
      <c r="D1099" s="1100">
        <v>1.0448578936116664</v>
      </c>
      <c r="E1099" s="1100">
        <v>0.99337676156921095</v>
      </c>
      <c r="F1099" s="1100">
        <v>1.0063684352594287</v>
      </c>
      <c r="G1099" s="1100">
        <v>0.9678186800389017</v>
      </c>
      <c r="H1099" s="1100">
        <v>1.0155161067902576</v>
      </c>
      <c r="I1099" s="1100">
        <v>1.0015433785927246</v>
      </c>
      <c r="K1099">
        <v>1.1503039006243609</v>
      </c>
      <c r="L1099">
        <v>0</v>
      </c>
      <c r="M1099">
        <v>8.0899583537894892E-4</v>
      </c>
      <c r="N1099">
        <v>7.297245052888196E-2</v>
      </c>
      <c r="O1099">
        <v>1.0153285819639476E-2</v>
      </c>
      <c r="P1099">
        <v>1.3510235700811333E-2</v>
      </c>
      <c r="Q1099">
        <v>4.3795720009669729E-4</v>
      </c>
      <c r="R1099">
        <v>8.0723148413577189E-4</v>
      </c>
      <c r="S1099">
        <v>7.1870350980778125E-2</v>
      </c>
      <c r="T1099">
        <v>0.83334586655566478</v>
      </c>
      <c r="U1099">
        <v>0</v>
      </c>
      <c r="V1099">
        <v>9.0685123626386865E-2</v>
      </c>
      <c r="W1099">
        <v>4.8127514936737205E-2</v>
      </c>
      <c r="X1099">
        <v>7.0058616305768351E-3</v>
      </c>
      <c r="Y1099">
        <v>2.1970179960303432E-3</v>
      </c>
    </row>
    <row r="1100" spans="1:25" x14ac:dyDescent="0.25">
      <c r="A1100" s="1096"/>
      <c r="B1100" s="1455">
        <v>850</v>
      </c>
      <c r="C1100" s="1100">
        <v>0.98962560683549172</v>
      </c>
      <c r="D1100" s="1100">
        <v>0.98534525518835558</v>
      </c>
      <c r="E1100" s="1100">
        <v>1.0370184507729967</v>
      </c>
      <c r="F1100" s="1100">
        <v>1.0151441469344273</v>
      </c>
      <c r="G1100" s="1100">
        <v>0.97948249351450301</v>
      </c>
      <c r="H1100" s="1100">
        <v>1.0195725837416139</v>
      </c>
      <c r="I1100" s="1100">
        <v>0.99868345323020447</v>
      </c>
      <c r="K1100">
        <v>1.1691253520724303</v>
      </c>
      <c r="L1100">
        <v>0</v>
      </c>
      <c r="M1100">
        <v>7.6838143915019055E-4</v>
      </c>
      <c r="N1100">
        <v>7.9066338123637142E-2</v>
      </c>
      <c r="O1100">
        <v>1.053204293581299E-2</v>
      </c>
      <c r="P1100">
        <v>1.4067095101850016E-2</v>
      </c>
      <c r="Q1100">
        <v>4.7449388961296162E-4</v>
      </c>
      <c r="R1100">
        <v>7.6671233170370879E-4</v>
      </c>
      <c r="S1100">
        <v>7.4945220173192093E-2</v>
      </c>
      <c r="T1100">
        <v>0.83770156745238045</v>
      </c>
      <c r="U1100">
        <v>0</v>
      </c>
      <c r="V1100">
        <v>9.1484989132022645E-2</v>
      </c>
      <c r="W1100">
        <v>5.0827033016067294E-2</v>
      </c>
      <c r="X1100">
        <v>7.9415031350553271E-3</v>
      </c>
      <c r="Y1100">
        <v>2.0867382202452768E-3</v>
      </c>
    </row>
    <row r="1101" spans="1:25" x14ac:dyDescent="0.25">
      <c r="A1101" s="1096"/>
      <c r="B1101" s="1455">
        <v>851</v>
      </c>
      <c r="C1101" s="1100">
        <v>0.97397426578196744</v>
      </c>
      <c r="D1101" s="1100">
        <v>1.0025122227927326</v>
      </c>
      <c r="E1101" s="1100">
        <v>1.033498139809202</v>
      </c>
      <c r="F1101" s="1100">
        <v>0.9629890094063599</v>
      </c>
      <c r="G1101" s="1100">
        <v>1.0110779836414769</v>
      </c>
      <c r="H1101" s="1100">
        <v>1.0394587494591871</v>
      </c>
      <c r="I1101" s="1100">
        <v>1.0112620263786363</v>
      </c>
      <c r="K1101">
        <v>1.1331781696490115</v>
      </c>
      <c r="L1101">
        <v>0</v>
      </c>
      <c r="M1101">
        <v>7.9630087075366546E-4</v>
      </c>
      <c r="N1101">
        <v>8.1077990879419901E-2</v>
      </c>
      <c r="O1101">
        <v>1.0626420874004288E-2</v>
      </c>
      <c r="P1101">
        <v>1.3490017127241264E-2</v>
      </c>
      <c r="Q1101">
        <v>4.7708724033464846E-4</v>
      </c>
      <c r="R1101">
        <v>7.9460420806519297E-4</v>
      </c>
      <c r="S1101">
        <v>7.7264681187215592E-2</v>
      </c>
      <c r="T1101">
        <v>0.79488347213677912</v>
      </c>
      <c r="U1101">
        <v>0</v>
      </c>
      <c r="V1101">
        <v>9.3237086405763517E-2</v>
      </c>
      <c r="W1101">
        <v>5.2226379623835563E-2</v>
      </c>
      <c r="X1101">
        <v>7.734080123959609E-3</v>
      </c>
      <c r="Y1101">
        <v>2.1626507131466653E-3</v>
      </c>
    </row>
    <row r="1102" spans="1:25" x14ac:dyDescent="0.25">
      <c r="A1102" s="1096"/>
      <c r="B1102" s="1455">
        <v>852</v>
      </c>
      <c r="C1102" s="1100">
        <v>1.0232851052332703</v>
      </c>
      <c r="D1102" s="1100">
        <v>0.99817035721437886</v>
      </c>
      <c r="E1102" s="1100">
        <v>1.0065456421947019</v>
      </c>
      <c r="F1102" s="1100">
        <v>0.96516765117213488</v>
      </c>
      <c r="G1102" s="1100">
        <v>0.96732415034389641</v>
      </c>
      <c r="H1102" s="1100">
        <v>0.9983263308808541</v>
      </c>
      <c r="I1102" s="1100">
        <v>0.99609057029998416</v>
      </c>
      <c r="K1102">
        <v>1.1120719227727012</v>
      </c>
      <c r="L1102">
        <v>0</v>
      </c>
      <c r="M1102">
        <v>7.7126221189174101E-4</v>
      </c>
      <c r="N1102">
        <v>7.238977976383569E-2</v>
      </c>
      <c r="O1102">
        <v>1.0123268763942164E-2</v>
      </c>
      <c r="P1102">
        <v>1.3144590207509358E-2</v>
      </c>
      <c r="Q1102">
        <v>4.4248113673396903E-4</v>
      </c>
      <c r="R1102">
        <v>7.6955119181434917E-4</v>
      </c>
      <c r="S1102">
        <v>7.0936953347577728E-2</v>
      </c>
      <c r="T1102">
        <v>0.79838714684759737</v>
      </c>
      <c r="U1102">
        <v>0</v>
      </c>
      <c r="V1102">
        <v>9.0135802557467351E-2</v>
      </c>
      <c r="W1102">
        <v>4.7370991627911203E-2</v>
      </c>
      <c r="X1102">
        <v>7.0481548785676518E-3</v>
      </c>
      <c r="Y1102">
        <v>2.094464661636456E-3</v>
      </c>
    </row>
    <row r="1103" spans="1:25" x14ac:dyDescent="0.25">
      <c r="A1103" s="1096"/>
      <c r="B1103" s="1455">
        <v>853</v>
      </c>
      <c r="C1103" s="1100">
        <v>1.0189174219532922</v>
      </c>
      <c r="D1103" s="1100">
        <v>1.0110514549679561</v>
      </c>
      <c r="E1103" s="1100">
        <v>1.0381057114969732</v>
      </c>
      <c r="F1103" s="1100">
        <v>1.0014279713676721</v>
      </c>
      <c r="G1103" s="1100">
        <v>0.9570107250046257</v>
      </c>
      <c r="H1103" s="1100">
        <v>0.97921962563849718</v>
      </c>
      <c r="I1103" s="1100">
        <v>0.9706623940830702</v>
      </c>
      <c r="K1103">
        <v>1.1383956972946134</v>
      </c>
      <c r="L1103">
        <v>0</v>
      </c>
      <c r="M1103">
        <v>7.0780200297287563E-4</v>
      </c>
      <c r="N1103">
        <v>7.3065145072748819E-2</v>
      </c>
      <c r="O1103">
        <v>1.0124780685826009E-2</v>
      </c>
      <c r="P1103">
        <v>1.3801163769794992E-2</v>
      </c>
      <c r="Q1103">
        <v>4.566343197693271E-4</v>
      </c>
      <c r="R1103">
        <v>7.0620112858634898E-4</v>
      </c>
      <c r="S1103">
        <v>6.8264458239286271E-2</v>
      </c>
      <c r="T1103">
        <v>0.82631215798726232</v>
      </c>
      <c r="U1103">
        <v>0</v>
      </c>
      <c r="V1103">
        <v>8.9804633119305172E-2</v>
      </c>
      <c r="W1103">
        <v>4.6939764800576156E-2</v>
      </c>
      <c r="X1103">
        <v>7.7065135015577735E-3</v>
      </c>
      <c r="Y1103">
        <v>1.9220466728725697E-3</v>
      </c>
    </row>
    <row r="1104" spans="1:25" x14ac:dyDescent="0.25">
      <c r="A1104" s="1096"/>
      <c r="B1104" s="1455">
        <v>854</v>
      </c>
      <c r="C1104" s="1100">
        <v>1.01946503265654</v>
      </c>
      <c r="D1104" s="1100">
        <v>1.0313757781486683</v>
      </c>
      <c r="E1104" s="1100">
        <v>1.005745353373533</v>
      </c>
      <c r="F1104" s="1100">
        <v>0.98707792485430512</v>
      </c>
      <c r="G1104" s="1100">
        <v>1.0069696270386768</v>
      </c>
      <c r="H1104" s="1100">
        <v>1.0031196803497986</v>
      </c>
      <c r="I1104" s="1100">
        <v>0.99360714928356197</v>
      </c>
      <c r="K1104">
        <v>1.130719169979135</v>
      </c>
      <c r="L1104">
        <v>0</v>
      </c>
      <c r="M1104">
        <v>7.6903007860209356E-4</v>
      </c>
      <c r="N1104">
        <v>7.2006807987217952E-2</v>
      </c>
      <c r="O1104">
        <v>1.0028804878366956E-2</v>
      </c>
      <c r="P1104">
        <v>1.3397628351485197E-2</v>
      </c>
      <c r="Q1104">
        <v>4.3800089698776241E-4</v>
      </c>
      <c r="R1104">
        <v>7.6733216278784735E-4</v>
      </c>
      <c r="S1104">
        <v>7.0029558907080194E-2</v>
      </c>
      <c r="T1104">
        <v>0.81656347682158192</v>
      </c>
      <c r="U1104">
        <v>0</v>
      </c>
      <c r="V1104">
        <v>9.1921255797429727E-2</v>
      </c>
      <c r="W1104">
        <v>4.714268912957402E-2</v>
      </c>
      <c r="X1104">
        <v>7.1042199290967676E-3</v>
      </c>
      <c r="Y1104">
        <v>2.0884251961290397E-3</v>
      </c>
    </row>
    <row r="1105" spans="1:25" x14ac:dyDescent="0.25">
      <c r="A1105" s="1096"/>
      <c r="B1105" s="1455">
        <v>855</v>
      </c>
      <c r="C1105" s="1100">
        <v>1.034232791498706</v>
      </c>
      <c r="D1105" s="1100">
        <v>1.0368061133774464</v>
      </c>
      <c r="E1105" s="1100">
        <v>0.96303641476549939</v>
      </c>
      <c r="F1105" s="1100">
        <v>0.98675212044279015</v>
      </c>
      <c r="G1105" s="1100">
        <v>1.0131618585151485</v>
      </c>
      <c r="H1105" s="1100">
        <v>0.9742409497563338</v>
      </c>
      <c r="I1105" s="1100">
        <v>0.9959674537085349</v>
      </c>
      <c r="K1105">
        <v>1.120939031348783</v>
      </c>
      <c r="L1105">
        <v>0</v>
      </c>
      <c r="M1105">
        <v>8.0256235286196918E-4</v>
      </c>
      <c r="N1105">
        <v>6.6035563005886644E-2</v>
      </c>
      <c r="O1105">
        <v>9.8515725515568604E-3</v>
      </c>
      <c r="P1105">
        <v>1.2974660818778426E-2</v>
      </c>
      <c r="Q1105">
        <v>4.1202568964052459E-4</v>
      </c>
      <c r="R1105">
        <v>8.0073787759015976E-4</v>
      </c>
      <c r="S1105">
        <v>6.7845793638549021E-2</v>
      </c>
      <c r="T1105">
        <v>0.81910531508060558</v>
      </c>
      <c r="U1105">
        <v>0</v>
      </c>
      <c r="V1105">
        <v>9.1833909346715939E-2</v>
      </c>
      <c r="W1105">
        <v>4.4358854000253897E-2</v>
      </c>
      <c r="X1105">
        <v>6.3438171524380768E-3</v>
      </c>
      <c r="Y1105">
        <v>2.1793445396300088E-3</v>
      </c>
    </row>
    <row r="1106" spans="1:25" x14ac:dyDescent="0.25">
      <c r="A1106" s="1096"/>
      <c r="B1106" s="1455">
        <v>856</v>
      </c>
      <c r="C1106" s="1100">
        <v>1.0272422659469596</v>
      </c>
      <c r="D1106" s="1100">
        <v>0.97312124778414144</v>
      </c>
      <c r="E1106" s="1100">
        <v>0.97022746562258977</v>
      </c>
      <c r="F1106" s="1100">
        <v>0.98916145953316514</v>
      </c>
      <c r="G1106" s="1100">
        <v>1.0326108399318867</v>
      </c>
      <c r="H1106" s="1100">
        <v>1.0135350283104845</v>
      </c>
      <c r="I1106" s="1100">
        <v>1.0245985864767353</v>
      </c>
      <c r="K1106">
        <v>1.1395472609440447</v>
      </c>
      <c r="L1106">
        <v>0</v>
      </c>
      <c r="M1106">
        <v>8.4950310081394924E-4</v>
      </c>
      <c r="N1106">
        <v>7.144321193621965E-2</v>
      </c>
      <c r="O1106">
        <v>1.017563576404714E-2</v>
      </c>
      <c r="P1106">
        <v>1.3165325510957442E-2</v>
      </c>
      <c r="Q1106">
        <v>4.2872447485402102E-4</v>
      </c>
      <c r="R1106">
        <v>8.4764678534555527E-4</v>
      </c>
      <c r="S1106">
        <v>7.4222093842533921E-2</v>
      </c>
      <c r="T1106">
        <v>0.82062671445383173</v>
      </c>
      <c r="U1106">
        <v>0</v>
      </c>
      <c r="V1106">
        <v>9.2829510907347632E-2</v>
      </c>
      <c r="W1106">
        <v>4.7781252070351915E-2</v>
      </c>
      <c r="X1106">
        <v>6.5696331763476683E-3</v>
      </c>
      <c r="Y1106">
        <v>2.3070151230229108E-3</v>
      </c>
    </row>
    <row r="1107" spans="1:25" x14ac:dyDescent="0.25">
      <c r="A1107" s="1096"/>
      <c r="B1107" s="1455">
        <v>857</v>
      </c>
      <c r="C1107" s="1100">
        <v>1.0149836370667791</v>
      </c>
      <c r="D1107" s="1100">
        <v>1.0201065503302527</v>
      </c>
      <c r="E1107" s="1100">
        <v>0.9992903696888219</v>
      </c>
      <c r="F1107" s="1100">
        <v>0.9968512848078751</v>
      </c>
      <c r="G1107" s="1100">
        <v>0.99486020269835895</v>
      </c>
      <c r="H1107" s="1100">
        <v>0.99996207880403898</v>
      </c>
      <c r="I1107" s="1100">
        <v>0.96265248963265382</v>
      </c>
      <c r="K1107">
        <v>1.1374078546319415</v>
      </c>
      <c r="L1107">
        <v>0</v>
      </c>
      <c r="M1107">
        <v>7.8381443674100694E-4</v>
      </c>
      <c r="N1107">
        <v>7.197347252753758E-2</v>
      </c>
      <c r="O1107">
        <v>1.0115383350165727E-2</v>
      </c>
      <c r="P1107">
        <v>1.3421508742019079E-2</v>
      </c>
      <c r="Q1107">
        <v>4.3892892558253504E-4</v>
      </c>
      <c r="R1107">
        <v>7.8207841441752109E-4</v>
      </c>
      <c r="S1107">
        <v>6.8404189936238383E-2</v>
      </c>
      <c r="T1107">
        <v>0.8250740013372182</v>
      </c>
      <c r="U1107">
        <v>0</v>
      </c>
      <c r="V1107">
        <v>9.1509966328396822E-2</v>
      </c>
      <c r="W1107">
        <v>4.7301630329040549E-2</v>
      </c>
      <c r="X1107">
        <v>7.0419495461022646E-3</v>
      </c>
      <c r="Y1107">
        <v>2.1285596319644685E-3</v>
      </c>
    </row>
    <row r="1108" spans="1:25" x14ac:dyDescent="0.25">
      <c r="A1108" s="1096"/>
      <c r="B1108" s="1455">
        <v>858</v>
      </c>
      <c r="C1108" s="1100">
        <v>0.98986748603361674</v>
      </c>
      <c r="D1108" s="1100">
        <v>1.0294954877750844</v>
      </c>
      <c r="E1108" s="1100">
        <v>1.0318051870845779</v>
      </c>
      <c r="F1108" s="1100">
        <v>1.0261049606582919</v>
      </c>
      <c r="G1108" s="1100">
        <v>0.9934946302571942</v>
      </c>
      <c r="H1108" s="1100">
        <v>0.99930285731891833</v>
      </c>
      <c r="I1108" s="1100">
        <v>1.0170292081475503</v>
      </c>
      <c r="K1108">
        <v>1.1723314644675971</v>
      </c>
      <c r="L1108">
        <v>0</v>
      </c>
      <c r="M1108">
        <v>7.4792191057040925E-4</v>
      </c>
      <c r="N1108">
        <v>7.5758047818781829E-2</v>
      </c>
      <c r="O1108">
        <v>1.0344754414450414E-2</v>
      </c>
      <c r="P1108">
        <v>1.4136932868526707E-2</v>
      </c>
      <c r="Q1108">
        <v>4.6366584190300671E-4</v>
      </c>
      <c r="R1108">
        <v>7.4626429161317031E-4</v>
      </c>
      <c r="S1108">
        <v>7.3766035609064751E-2</v>
      </c>
      <c r="T1108">
        <v>0.84709466718578208</v>
      </c>
      <c r="U1108">
        <v>0</v>
      </c>
      <c r="V1108">
        <v>9.2076639031226273E-2</v>
      </c>
      <c r="W1108">
        <v>4.8847418845991461E-2</v>
      </c>
      <c r="X1108">
        <v>7.8138750750134465E-3</v>
      </c>
      <c r="Y1108">
        <v>2.0310853958134356E-3</v>
      </c>
    </row>
    <row r="1109" spans="1:25" x14ac:dyDescent="0.25">
      <c r="A1109" s="1096"/>
      <c r="B1109" s="1455">
        <v>859</v>
      </c>
      <c r="C1109" s="1100">
        <v>0.96363233242084856</v>
      </c>
      <c r="D1109" s="1100">
        <v>0.98499534197396699</v>
      </c>
      <c r="E1109" s="1100">
        <v>1.0038927100366326</v>
      </c>
      <c r="F1109" s="1100">
        <v>0.98375172558281287</v>
      </c>
      <c r="G1109" s="1100">
        <v>0.99356690611620713</v>
      </c>
      <c r="H1109" s="1100">
        <v>0.99414885782375551</v>
      </c>
      <c r="I1109" s="1100">
        <v>1.0262087299452789</v>
      </c>
      <c r="K1109">
        <v>1.1459794513285684</v>
      </c>
      <c r="L1109">
        <v>0</v>
      </c>
      <c r="M1109">
        <v>8.2445371818534697E-4</v>
      </c>
      <c r="N1109">
        <v>7.6764045514257528E-2</v>
      </c>
      <c r="O1109">
        <v>1.0806319212217053E-2</v>
      </c>
      <c r="P1109">
        <v>1.3463077987476047E-2</v>
      </c>
      <c r="Q1109">
        <v>4.7108253478050509E-4</v>
      </c>
      <c r="R1109">
        <v>8.226170088178876E-4</v>
      </c>
      <c r="S1109">
        <v>7.7951929996148223E-2</v>
      </c>
      <c r="T1109">
        <v>0.81393224384936258</v>
      </c>
      <c r="U1109">
        <v>0</v>
      </c>
      <c r="V1109">
        <v>9.2756606927815413E-2</v>
      </c>
      <c r="W1109">
        <v>5.0312400387829692E-2</v>
      </c>
      <c r="X1109">
        <v>7.2846893056696237E-3</v>
      </c>
      <c r="Y1109">
        <v>2.2388923223782132E-3</v>
      </c>
    </row>
    <row r="1110" spans="1:25" x14ac:dyDescent="0.25">
      <c r="A1110" s="1096"/>
      <c r="B1110" s="1455">
        <v>860</v>
      </c>
      <c r="C1110" s="1100">
        <v>0.98220337575022199</v>
      </c>
      <c r="D1110" s="1100">
        <v>0.98875714051032737</v>
      </c>
      <c r="E1110" s="1100">
        <v>0.97991355491961474</v>
      </c>
      <c r="F1110" s="1100">
        <v>1.0071895683784977</v>
      </c>
      <c r="G1110" s="1100">
        <v>1.0280041675106828</v>
      </c>
      <c r="H1110" s="1100">
        <v>0.97695447236779487</v>
      </c>
      <c r="I1110" s="1100">
        <v>0.98069485897577791</v>
      </c>
      <c r="K1110">
        <v>1.1547382607178722</v>
      </c>
      <c r="L1110">
        <v>0</v>
      </c>
      <c r="M1110">
        <v>8.3408712209725447E-4</v>
      </c>
      <c r="N1110">
        <v>7.2227770628531807E-2</v>
      </c>
      <c r="O1110">
        <v>1.0577829042820211E-2</v>
      </c>
      <c r="P1110">
        <v>1.3440358943401017E-2</v>
      </c>
      <c r="Q1110">
        <v>4.5009130330932802E-4</v>
      </c>
      <c r="R1110">
        <v>8.321962477566417E-4</v>
      </c>
      <c r="S1110">
        <v>7.2213502740125488E-2</v>
      </c>
      <c r="T1110">
        <v>0.83492942313340102</v>
      </c>
      <c r="U1110">
        <v>0</v>
      </c>
      <c r="V1110">
        <v>9.373936499995085E-2</v>
      </c>
      <c r="W1110">
        <v>4.8023162387778089E-2</v>
      </c>
      <c r="X1110">
        <v>6.8736845599205463E-3</v>
      </c>
      <c r="Y1110">
        <v>2.2649638529742338E-3</v>
      </c>
    </row>
    <row r="1111" spans="1:25" x14ac:dyDescent="0.25">
      <c r="A1111" s="1096"/>
      <c r="B1111" s="1455">
        <v>861</v>
      </c>
      <c r="C1111" s="1100">
        <v>0.99869123031488338</v>
      </c>
      <c r="D1111" s="1100">
        <v>1.0027330343670044</v>
      </c>
      <c r="E1111" s="1100">
        <v>0.99363011432081372</v>
      </c>
      <c r="F1111" s="1100">
        <v>0.98194906044952301</v>
      </c>
      <c r="G1111" s="1100">
        <v>0.99279356566508004</v>
      </c>
      <c r="H1111" s="1100">
        <v>0.99386963691848118</v>
      </c>
      <c r="I1111" s="1100">
        <v>0.9734306011333409</v>
      </c>
      <c r="K1111">
        <v>1.1295964281281001</v>
      </c>
      <c r="L1111">
        <v>0</v>
      </c>
      <c r="M1111">
        <v>8.0661692117672129E-4</v>
      </c>
      <c r="N1111">
        <v>7.2810142439886885E-2</v>
      </c>
      <c r="O1111">
        <v>1.0349432314571564E-2</v>
      </c>
      <c r="P1111">
        <v>1.3237398834019334E-2</v>
      </c>
      <c r="Q1111">
        <v>4.4653199816848961E-4</v>
      </c>
      <c r="R1111">
        <v>8.0481944359176718E-4</v>
      </c>
      <c r="S1111">
        <v>7.0672974239308323E-2</v>
      </c>
      <c r="T1111">
        <v>0.81310833495810753</v>
      </c>
      <c r="U1111">
        <v>0</v>
      </c>
      <c r="V1111">
        <v>9.1819080201421863E-2</v>
      </c>
      <c r="W1111">
        <v>4.801320036427266E-2</v>
      </c>
      <c r="X1111">
        <v>6.9506770391292976E-3</v>
      </c>
      <c r="Y1111">
        <v>2.1904532167985125E-3</v>
      </c>
    </row>
    <row r="1112" spans="1:25" x14ac:dyDescent="0.25">
      <c r="A1112" s="1096"/>
      <c r="B1112" s="1455">
        <v>862</v>
      </c>
      <c r="C1112" s="1100">
        <v>0.99618011029630327</v>
      </c>
      <c r="D1112" s="1100">
        <v>0.96549450660916558</v>
      </c>
      <c r="E1112" s="1100">
        <v>0.98832039831236562</v>
      </c>
      <c r="F1112" s="1100">
        <v>1.0267728458020862</v>
      </c>
      <c r="G1112" s="1100">
        <v>0.97367956260661037</v>
      </c>
      <c r="H1112" s="1100">
        <v>0.97712941512523843</v>
      </c>
      <c r="I1112" s="1100">
        <v>1.0206453959422315</v>
      </c>
      <c r="K1112">
        <v>1.1711492720930894</v>
      </c>
      <c r="L1112">
        <v>0</v>
      </c>
      <c r="M1112">
        <v>8.1608263992668823E-4</v>
      </c>
      <c r="N1112">
        <v>7.2488746456107728E-2</v>
      </c>
      <c r="O1112">
        <v>1.0532009946857832E-2</v>
      </c>
      <c r="P1112">
        <v>1.3739764027184881E-2</v>
      </c>
      <c r="Q1112">
        <v>4.5197849523339917E-4</v>
      </c>
      <c r="R1112">
        <v>8.1423291295170546E-4</v>
      </c>
      <c r="S1112">
        <v>7.5033300509183803E-2</v>
      </c>
      <c r="T1112">
        <v>0.85058745058444318</v>
      </c>
      <c r="U1112">
        <v>0</v>
      </c>
      <c r="V1112">
        <v>9.1063508369202087E-2</v>
      </c>
      <c r="W1112">
        <v>4.7953435075757403E-2</v>
      </c>
      <c r="X1112">
        <v>7.0848547788472833E-3</v>
      </c>
      <c r="Y1112">
        <v>2.2160735772469246E-3</v>
      </c>
    </row>
    <row r="1113" spans="1:25" x14ac:dyDescent="0.25">
      <c r="A1113" s="1096"/>
      <c r="B1113" s="1455">
        <v>863</v>
      </c>
      <c r="C1113" s="1100">
        <v>0.97983698634433491</v>
      </c>
      <c r="D1113" s="1100">
        <v>0.96384484822940986</v>
      </c>
      <c r="E1113" s="1100">
        <v>1.0460825135503975</v>
      </c>
      <c r="F1113" s="1100">
        <v>0.97886687912441439</v>
      </c>
      <c r="G1113" s="1100">
        <v>0.96448441931698914</v>
      </c>
      <c r="H1113" s="1100">
        <v>0.98803152939187611</v>
      </c>
      <c r="I1113" s="1100">
        <v>0.98813792977620074</v>
      </c>
      <c r="K1113">
        <v>1.1367402085490457</v>
      </c>
      <c r="L1113">
        <v>0</v>
      </c>
      <c r="M1113">
        <v>7.4449609397864711E-4</v>
      </c>
      <c r="N1113">
        <v>7.8723382760702856E-2</v>
      </c>
      <c r="O1113">
        <v>1.0734636228810534E-2</v>
      </c>
      <c r="P1113">
        <v>1.3716453528429496E-2</v>
      </c>
      <c r="Q1113">
        <v>4.8794711327391523E-4</v>
      </c>
      <c r="R1113">
        <v>7.428272443834559E-4</v>
      </c>
      <c r="S1113">
        <v>7.4443633270833171E-2</v>
      </c>
      <c r="T1113">
        <v>0.80718994816459433</v>
      </c>
      <c r="U1113">
        <v>0</v>
      </c>
      <c r="V1113">
        <v>9.1096376587425809E-2</v>
      </c>
      <c r="W1113">
        <v>5.0343388077305665E-2</v>
      </c>
      <c r="X1113">
        <v>7.9843807809888857E-3</v>
      </c>
      <c r="Y1113">
        <v>2.0217308862764665E-3</v>
      </c>
    </row>
    <row r="1114" spans="1:25" x14ac:dyDescent="0.25">
      <c r="A1114" s="1096"/>
      <c r="B1114" s="1455">
        <v>864</v>
      </c>
      <c r="C1114" s="1100">
        <v>1.0328106290411452</v>
      </c>
      <c r="D1114" s="1100">
        <v>0.97040243857025765</v>
      </c>
      <c r="E1114" s="1100">
        <v>0.99299675126034637</v>
      </c>
      <c r="F1114" s="1100">
        <v>0.97055056545102603</v>
      </c>
      <c r="G1114" s="1100">
        <v>0.97916763153121933</v>
      </c>
      <c r="H1114" s="1100">
        <v>0.9841616330921592</v>
      </c>
      <c r="I1114" s="1100">
        <v>0.98463170920627874</v>
      </c>
      <c r="K1114">
        <v>1.1138170484647831</v>
      </c>
      <c r="L1114">
        <v>0</v>
      </c>
      <c r="M1114">
        <v>7.8357077090621E-4</v>
      </c>
      <c r="N1114">
        <v>7.0593021289196312E-2</v>
      </c>
      <c r="O1114">
        <v>1.0139388219718966E-2</v>
      </c>
      <c r="P1114">
        <v>1.3074378435557114E-2</v>
      </c>
      <c r="Q1114">
        <v>4.3719007284081292E-4</v>
      </c>
      <c r="R1114">
        <v>7.818074255642411E-4</v>
      </c>
      <c r="S1114">
        <v>6.9917383739078076E-2</v>
      </c>
      <c r="T1114">
        <v>0.80371057819386005</v>
      </c>
      <c r="U1114">
        <v>0</v>
      </c>
      <c r="V1114">
        <v>9.0416675656647932E-2</v>
      </c>
      <c r="W1114">
        <v>4.6568783611844196E-2</v>
      </c>
      <c r="X1114">
        <v>6.8335905017431961E-3</v>
      </c>
      <c r="Y1114">
        <v>2.1278220896372925E-3</v>
      </c>
    </row>
    <row r="1115" spans="1:25" x14ac:dyDescent="0.25">
      <c r="A1115" s="1096"/>
      <c r="B1115" s="1455">
        <v>865</v>
      </c>
      <c r="C1115" s="1100">
        <v>0.97941271531381136</v>
      </c>
      <c r="D1115" s="1100">
        <v>0.99984749993149047</v>
      </c>
      <c r="E1115" s="1100">
        <v>0.99766387338770901</v>
      </c>
      <c r="F1115" s="1100">
        <v>0.9918464868660809</v>
      </c>
      <c r="G1115" s="1100">
        <v>0.98537987705662455</v>
      </c>
      <c r="H1115" s="1100">
        <v>1.0161385673933925</v>
      </c>
      <c r="I1115" s="1100">
        <v>1.0283295464065354</v>
      </c>
      <c r="K1115">
        <v>1.1506219591252185</v>
      </c>
      <c r="L1115">
        <v>0</v>
      </c>
      <c r="M1115">
        <v>8.3488291307536381E-4</v>
      </c>
      <c r="N1115">
        <v>7.6289673791985563E-2</v>
      </c>
      <c r="O1115">
        <v>1.0566667027206478E-2</v>
      </c>
      <c r="P1115">
        <v>1.3476628087216648E-2</v>
      </c>
      <c r="Q1115">
        <v>4.5776147764565864E-4</v>
      </c>
      <c r="R1115">
        <v>8.3306321969429324E-4</v>
      </c>
      <c r="S1115">
        <v>7.7197297265960654E-2</v>
      </c>
      <c r="T1115">
        <v>0.82103851289369956</v>
      </c>
      <c r="U1115">
        <v>0</v>
      </c>
      <c r="V1115">
        <v>9.19911602609714E-2</v>
      </c>
      <c r="W1115">
        <v>5.0186828132503788E-2</v>
      </c>
      <c r="X1115">
        <v>7.1519264166171352E-3</v>
      </c>
      <c r="Y1115">
        <v>2.2673234647912995E-3</v>
      </c>
    </row>
    <row r="1116" spans="1:25" x14ac:dyDescent="0.25">
      <c r="A1116" s="1096"/>
      <c r="B1116" s="1455">
        <v>866</v>
      </c>
      <c r="C1116" s="1100">
        <v>0.99735122141318833</v>
      </c>
      <c r="D1116" s="1100">
        <v>0.98749265985533008</v>
      </c>
      <c r="E1116" s="1100">
        <v>0.99507779054605416</v>
      </c>
      <c r="F1116" s="1100">
        <v>0.97581039964082394</v>
      </c>
      <c r="G1116" s="1100">
        <v>1.0232854157283153</v>
      </c>
      <c r="H1116" s="1100">
        <v>0.99322219678902479</v>
      </c>
      <c r="I1116" s="1100">
        <v>1.0046909296154785</v>
      </c>
      <c r="K1116">
        <v>1.1297595234645192</v>
      </c>
      <c r="L1116">
        <v>0</v>
      </c>
      <c r="M1116">
        <v>8.0970161726186198E-4</v>
      </c>
      <c r="N1116">
        <v>7.3408982869160588E-2</v>
      </c>
      <c r="O1116">
        <v>1.0427497369316238E-2</v>
      </c>
      <c r="P1116">
        <v>1.3239360227632991E-2</v>
      </c>
      <c r="Q1116">
        <v>4.5055737145506113E-4</v>
      </c>
      <c r="R1116">
        <v>8.0789608951104615E-4</v>
      </c>
      <c r="S1116">
        <v>7.3592686161315396E-2</v>
      </c>
      <c r="T1116">
        <v>0.80793140009258546</v>
      </c>
      <c r="U1116">
        <v>0</v>
      </c>
      <c r="V1116">
        <v>9.3156358780372844E-2</v>
      </c>
      <c r="W1116">
        <v>4.8366274400823264E-2</v>
      </c>
      <c r="X1116">
        <v>6.9893848868327569E-3</v>
      </c>
      <c r="Y1116">
        <v>2.198826832774736E-3</v>
      </c>
    </row>
    <row r="1117" spans="1:25" x14ac:dyDescent="0.25">
      <c r="A1117" s="1096"/>
      <c r="B1117" s="1455">
        <v>867</v>
      </c>
      <c r="C1117" s="1100">
        <v>0.97381279162991052</v>
      </c>
      <c r="D1117" s="1100">
        <v>1.0233535909708737</v>
      </c>
      <c r="E1117" s="1100">
        <v>1.0052913812849458</v>
      </c>
      <c r="F1117" s="1100">
        <v>0.99228338416220163</v>
      </c>
      <c r="G1117" s="1100">
        <v>0.96285712073866636</v>
      </c>
      <c r="H1117" s="1100">
        <v>1.0275808454480735</v>
      </c>
      <c r="I1117" s="1100">
        <v>1.0109097626107271</v>
      </c>
      <c r="K1117">
        <v>1.1501679969640921</v>
      </c>
      <c r="L1117">
        <v>0</v>
      </c>
      <c r="M1117">
        <v>8.2807416075446534E-4</v>
      </c>
      <c r="N1117">
        <v>7.7433150065363526E-2</v>
      </c>
      <c r="O1117">
        <v>1.0531646792928341E-2</v>
      </c>
      <c r="P1117">
        <v>1.3522816564281961E-2</v>
      </c>
      <c r="Q1117">
        <v>4.5975295453952198E-4</v>
      </c>
      <c r="R1117">
        <v>8.2628940491833304E-4</v>
      </c>
      <c r="S1117">
        <v>7.5911363914946295E-2</v>
      </c>
      <c r="T1117">
        <v>0.82089945290331279</v>
      </c>
      <c r="U1117">
        <v>0</v>
      </c>
      <c r="V1117">
        <v>9.1175122633876893E-2</v>
      </c>
      <c r="W1117">
        <v>5.0708923434095284E-2</v>
      </c>
      <c r="X1117">
        <v>7.278665082625411E-3</v>
      </c>
      <c r="Y1117">
        <v>2.2488873739585765E-3</v>
      </c>
    </row>
    <row r="1118" spans="1:25" x14ac:dyDescent="0.25">
      <c r="A1118" s="1096"/>
      <c r="B1118" s="1455">
        <v>868</v>
      </c>
      <c r="C1118" s="1100">
        <v>1.0191813178011739</v>
      </c>
      <c r="D1118" s="1100">
        <v>1.0014209041561026</v>
      </c>
      <c r="E1118" s="1100">
        <v>1.0218170449525739</v>
      </c>
      <c r="F1118" s="1100">
        <v>1.0038057079030613</v>
      </c>
      <c r="G1118" s="1100">
        <v>1.0252753738866629</v>
      </c>
      <c r="H1118" s="1100">
        <v>0.97002468842357803</v>
      </c>
      <c r="I1118" s="1100">
        <v>1.013643158065493</v>
      </c>
      <c r="K1118">
        <v>1.145033059916525</v>
      </c>
      <c r="L1118">
        <v>0</v>
      </c>
      <c r="M1118">
        <v>7.2795636606021684E-4</v>
      </c>
      <c r="N1118">
        <v>7.1543320548210693E-2</v>
      </c>
      <c r="O1118">
        <v>1.0155733210332371E-2</v>
      </c>
      <c r="P1118">
        <v>1.3762036428613822E-2</v>
      </c>
      <c r="Q1118">
        <v>4.5071283140836704E-4</v>
      </c>
      <c r="R1118">
        <v>7.2629430054629537E-4</v>
      </c>
      <c r="S1118">
        <v>7.122969222705422E-2</v>
      </c>
      <c r="T1118">
        <v>0.82934072281214488</v>
      </c>
      <c r="U1118">
        <v>0</v>
      </c>
      <c r="V1118">
        <v>9.2712781698380584E-2</v>
      </c>
      <c r="W1118">
        <v>4.6398745795672373E-2</v>
      </c>
      <c r="X1118">
        <v>7.4642427669867574E-3</v>
      </c>
      <c r="Y1118">
        <v>1.9767336632351873E-3</v>
      </c>
    </row>
    <row r="1119" spans="1:25" x14ac:dyDescent="0.25">
      <c r="A1119" s="1096"/>
      <c r="B1119" s="1455">
        <v>869</v>
      </c>
      <c r="C1119" s="1100">
        <v>1.0361870781106997</v>
      </c>
      <c r="D1119" s="1100">
        <v>1.0080814403464795</v>
      </c>
      <c r="E1119" s="1100">
        <v>1.0052370972896778</v>
      </c>
      <c r="F1119" s="1100">
        <v>0.9935109781311724</v>
      </c>
      <c r="G1119" s="1100">
        <v>0.97769705655724315</v>
      </c>
      <c r="H1119" s="1100">
        <v>1.0070418532884891</v>
      </c>
      <c r="I1119" s="1100">
        <v>0.99615430437123043</v>
      </c>
      <c r="K1119">
        <v>1.133977113808911</v>
      </c>
      <c r="L1119">
        <v>0</v>
      </c>
      <c r="M1119">
        <v>7.6735978936185508E-4</v>
      </c>
      <c r="N1119">
        <v>7.1740830690434465E-2</v>
      </c>
      <c r="O1119">
        <v>9.9573754264914455E-3</v>
      </c>
      <c r="P1119">
        <v>1.3443505761141497E-2</v>
      </c>
      <c r="Q1119">
        <v>4.3465982094089122E-4</v>
      </c>
      <c r="R1119">
        <v>7.6567215991247964E-4</v>
      </c>
      <c r="S1119">
        <v>7.0042068376324401E-2</v>
      </c>
      <c r="T1119">
        <v>0.82191858220957614</v>
      </c>
      <c r="U1119">
        <v>0</v>
      </c>
      <c r="V1119">
        <v>9.0277440711908769E-2</v>
      </c>
      <c r="W1119">
        <v>4.6982683437382711E-2</v>
      </c>
      <c r="X1119">
        <v>7.097747788637883E-3</v>
      </c>
      <c r="Y1119">
        <v>2.0839072155220896E-3</v>
      </c>
    </row>
    <row r="1120" spans="1:25" x14ac:dyDescent="0.25">
      <c r="A1120" s="1096"/>
      <c r="B1120" s="1455">
        <v>870</v>
      </c>
      <c r="C1120" s="1100">
        <v>0.97888353129799777</v>
      </c>
      <c r="D1120" s="1100">
        <v>1.0211709159951194</v>
      </c>
      <c r="E1120" s="1100">
        <v>1.01533823603503</v>
      </c>
      <c r="F1120" s="1100">
        <v>0.98256265431034928</v>
      </c>
      <c r="G1120" s="1100">
        <v>0.99536785462898525</v>
      </c>
      <c r="H1120" s="1100">
        <v>1.0116014942041907</v>
      </c>
      <c r="I1120" s="1100">
        <v>0.98092998424103994</v>
      </c>
      <c r="K1120">
        <v>1.1378399709475027</v>
      </c>
      <c r="L1120">
        <v>0</v>
      </c>
      <c r="M1120">
        <v>7.9490067627641797E-4</v>
      </c>
      <c r="N1120">
        <v>7.6617541672673733E-2</v>
      </c>
      <c r="O1120">
        <v>1.0489379944533727E-2</v>
      </c>
      <c r="P1120">
        <v>1.347727922199345E-2</v>
      </c>
      <c r="Q1120">
        <v>4.625290643484654E-4</v>
      </c>
      <c r="R1120">
        <v>7.9316035679331408E-4</v>
      </c>
      <c r="S1120">
        <v>7.2724273219731989E-2</v>
      </c>
      <c r="T1120">
        <v>0.81220740351639642</v>
      </c>
      <c r="U1120">
        <v>0</v>
      </c>
      <c r="V1120">
        <v>9.2434808279531655E-2</v>
      </c>
      <c r="W1120">
        <v>4.9878499042768323E-2</v>
      </c>
      <c r="X1120">
        <v>7.3912762790575614E-3</v>
      </c>
      <c r="Y1120">
        <v>2.1587210259500539E-3</v>
      </c>
    </row>
    <row r="1121" spans="1:25" x14ac:dyDescent="0.25">
      <c r="A1121" s="1096"/>
      <c r="B1121" s="1455">
        <v>871</v>
      </c>
      <c r="C1121" s="1100">
        <v>0.98688525182351228</v>
      </c>
      <c r="D1121" s="1100">
        <v>0.99752587005971827</v>
      </c>
      <c r="E1121" s="1100">
        <v>1.0065038673737792</v>
      </c>
      <c r="F1121" s="1100">
        <v>0.9754420601026611</v>
      </c>
      <c r="G1121" s="1100">
        <v>0.99148888442154548</v>
      </c>
      <c r="H1121" s="1100">
        <v>1.009326216660601</v>
      </c>
      <c r="I1121" s="1100">
        <v>1.0139905343822451</v>
      </c>
      <c r="K1121">
        <v>1.1336069784611837</v>
      </c>
      <c r="L1121">
        <v>0</v>
      </c>
      <c r="M1121">
        <v>8.0879963586589435E-4</v>
      </c>
      <c r="N1121">
        <v>7.5905262377630997E-2</v>
      </c>
      <c r="O1121">
        <v>1.0499349364259796E-2</v>
      </c>
      <c r="P1121">
        <v>1.3347698919674715E-2</v>
      </c>
      <c r="Q1121">
        <v>4.5890016115619032E-4</v>
      </c>
      <c r="R1121">
        <v>8.0702489491279756E-4</v>
      </c>
      <c r="S1121">
        <v>7.5360227672201796E-2</v>
      </c>
      <c r="T1121">
        <v>0.80688883203235207</v>
      </c>
      <c r="U1121">
        <v>0</v>
      </c>
      <c r="V1121">
        <v>9.2062190374010519E-2</v>
      </c>
      <c r="W1121">
        <v>4.9672707661949256E-2</v>
      </c>
      <c r="X1121">
        <v>7.2171289106320287E-3</v>
      </c>
      <c r="Y1121">
        <v>2.1964557282675252E-3</v>
      </c>
    </row>
    <row r="1122" spans="1:25" x14ac:dyDescent="0.25">
      <c r="A1122" s="1096"/>
      <c r="B1122" s="1455">
        <v>872</v>
      </c>
      <c r="C1122" s="1100">
        <v>1.0013784658900153</v>
      </c>
      <c r="D1122" s="1100">
        <v>1.0281267256659641</v>
      </c>
      <c r="E1122" s="1100">
        <v>1.0151428314531596</v>
      </c>
      <c r="F1122" s="1100">
        <v>1.0008604192412631</v>
      </c>
      <c r="G1122" s="1100">
        <v>1.0442749292358404</v>
      </c>
      <c r="H1122" s="1100">
        <v>0.98780385316559927</v>
      </c>
      <c r="I1122" s="1100">
        <v>0.9748841364816716</v>
      </c>
      <c r="K1122">
        <v>1.1449295018915102</v>
      </c>
      <c r="L1122">
        <v>0</v>
      </c>
      <c r="M1122">
        <v>7.5701424914241088E-4</v>
      </c>
      <c r="N1122">
        <v>7.2918938894941623E-2</v>
      </c>
      <c r="O1122">
        <v>1.0225878242569699E-2</v>
      </c>
      <c r="P1122">
        <v>1.3660160829104484E-2</v>
      </c>
      <c r="Q1122">
        <v>4.5082214515109831E-4</v>
      </c>
      <c r="R1122">
        <v>7.5531694795045914E-4</v>
      </c>
      <c r="S1122">
        <v>6.9474711627966951E-2</v>
      </c>
      <c r="T1122">
        <v>0.82734558045857864</v>
      </c>
      <c r="U1122">
        <v>0</v>
      </c>
      <c r="V1122">
        <v>9.3956365071117778E-2</v>
      </c>
      <c r="W1122">
        <v>4.7476133107218481E-2</v>
      </c>
      <c r="X1122">
        <v>7.3668850738979755E-3</v>
      </c>
      <c r="Y1122">
        <v>2.0557237421561757E-3</v>
      </c>
    </row>
    <row r="1123" spans="1:25" x14ac:dyDescent="0.25">
      <c r="A1123" s="1096"/>
      <c r="B1123" s="1455">
        <v>873</v>
      </c>
      <c r="C1123" s="1100">
        <v>0.98858218494560679</v>
      </c>
      <c r="D1123" s="1100">
        <v>1.0357082215406761</v>
      </c>
      <c r="E1123" s="1100">
        <v>1.0154426716143399</v>
      </c>
      <c r="F1123" s="1100">
        <v>0.98759433294924803</v>
      </c>
      <c r="G1123" s="1100">
        <v>1.0210334157864669</v>
      </c>
      <c r="H1123" s="1100">
        <v>0.98363265550672385</v>
      </c>
      <c r="I1123" s="1100">
        <v>0.99556068362897809</v>
      </c>
      <c r="K1123">
        <v>1.1359042289109356</v>
      </c>
      <c r="L1123">
        <v>0</v>
      </c>
      <c r="M1123">
        <v>7.6085988257327327E-4</v>
      </c>
      <c r="N1123">
        <v>7.3355015202458559E-2</v>
      </c>
      <c r="O1123">
        <v>1.0327944637660857E-2</v>
      </c>
      <c r="P1123">
        <v>1.3529384650757483E-2</v>
      </c>
      <c r="Q1123">
        <v>4.55457981924931E-4</v>
      </c>
      <c r="R1123">
        <v>7.5914672494108919E-4</v>
      </c>
      <c r="S1123">
        <v>7.1427867216507512E-2</v>
      </c>
      <c r="T1123">
        <v>0.81635992027747661</v>
      </c>
      <c r="U1123">
        <v>0</v>
      </c>
      <c r="V1123">
        <v>9.32834146796436E-2</v>
      </c>
      <c r="W1123">
        <v>4.775164556503661E-2</v>
      </c>
      <c r="X1123">
        <v>7.3491447244629464E-3</v>
      </c>
      <c r="Y1123">
        <v>2.0661471326390247E-3</v>
      </c>
    </row>
    <row r="1124" spans="1:25" x14ac:dyDescent="0.25">
      <c r="A1124" s="1096"/>
      <c r="B1124" s="1455">
        <v>874</v>
      </c>
      <c r="C1124" s="1100">
        <v>0.99670639078147483</v>
      </c>
      <c r="D1124" s="1100">
        <v>0.9918031582654071</v>
      </c>
      <c r="E1124" s="1100">
        <v>1.0348143733599284</v>
      </c>
      <c r="F1124" s="1100">
        <v>1.0037466161280622</v>
      </c>
      <c r="G1124" s="1100">
        <v>0.95297333481825264</v>
      </c>
      <c r="H1124" s="1100">
        <v>1.0095187154652412</v>
      </c>
      <c r="I1124" s="1100">
        <v>1.0188846291581941</v>
      </c>
      <c r="K1124">
        <v>1.1556853501796047</v>
      </c>
      <c r="L1124">
        <v>0</v>
      </c>
      <c r="M1124">
        <v>7.5689969470100007E-4</v>
      </c>
      <c r="N1124">
        <v>7.7367634608602298E-2</v>
      </c>
      <c r="O1124">
        <v>1.0429201989760446E-2</v>
      </c>
      <c r="P1124">
        <v>1.3900967620536364E-2</v>
      </c>
      <c r="Q1124">
        <v>4.6884118063121041E-4</v>
      </c>
      <c r="R1124">
        <v>7.5523915396831618E-4</v>
      </c>
      <c r="S1124">
        <v>7.5241854874681144E-2</v>
      </c>
      <c r="T1124">
        <v>0.82844016485253424</v>
      </c>
      <c r="U1124">
        <v>0</v>
      </c>
      <c r="V1124">
        <v>9.0173785239520424E-2</v>
      </c>
      <c r="W1124">
        <v>4.9798415331537615E-2</v>
      </c>
      <c r="X1124">
        <v>7.8106330099512811E-3</v>
      </c>
      <c r="Y1124">
        <v>2.0555120125815619E-3</v>
      </c>
    </row>
    <row r="1125" spans="1:25" x14ac:dyDescent="0.25">
      <c r="A1125" s="1096"/>
      <c r="B1125" s="1455">
        <v>875</v>
      </c>
      <c r="C1125" s="1100">
        <v>1.0090908894721442</v>
      </c>
      <c r="D1125" s="1100">
        <v>0.97348061938544028</v>
      </c>
      <c r="E1125" s="1100">
        <v>1.0192321249458995</v>
      </c>
      <c r="F1125" s="1100">
        <v>0.9651906202762266</v>
      </c>
      <c r="G1125" s="1100">
        <v>1.003444503612811</v>
      </c>
      <c r="H1125" s="1100">
        <v>0.99105469664380208</v>
      </c>
      <c r="I1125" s="1100">
        <v>0.96930573573659373</v>
      </c>
      <c r="K1125">
        <v>1.1166467630154162</v>
      </c>
      <c r="L1125">
        <v>0</v>
      </c>
      <c r="M1125">
        <v>7.6382358096485289E-4</v>
      </c>
      <c r="N1125">
        <v>7.4488861175350127E-2</v>
      </c>
      <c r="O1125">
        <v>1.0373196346215925E-2</v>
      </c>
      <c r="P1125">
        <v>1.3279329983786049E-2</v>
      </c>
      <c r="Q1125">
        <v>4.5918269935138538E-4</v>
      </c>
      <c r="R1125">
        <v>7.6211663011652902E-4</v>
      </c>
      <c r="S1125">
        <v>7.0634334546145677E-2</v>
      </c>
      <c r="T1125">
        <v>0.79760059162141606</v>
      </c>
      <c r="U1125">
        <v>0</v>
      </c>
      <c r="V1125">
        <v>9.2022571213059415E-2</v>
      </c>
      <c r="W1125">
        <v>4.8382132020974397E-2</v>
      </c>
      <c r="X1125">
        <v>7.3340401244676705E-3</v>
      </c>
      <c r="Y1125">
        <v>2.0742302354975943E-3</v>
      </c>
    </row>
    <row r="1126" spans="1:25" x14ac:dyDescent="0.25">
      <c r="A1126" s="1096"/>
      <c r="B1126" s="1455">
        <v>876</v>
      </c>
      <c r="C1126" s="1100">
        <v>0.98119142050384411</v>
      </c>
      <c r="D1126" s="1100">
        <v>0.9914532883015138</v>
      </c>
      <c r="E1126" s="1100">
        <v>1.0027936719055699</v>
      </c>
      <c r="F1126" s="1100">
        <v>1.0344950256108905</v>
      </c>
      <c r="G1126" s="1100">
        <v>0.9760804807627228</v>
      </c>
      <c r="H1126" s="1100">
        <v>1.0159387661272687</v>
      </c>
      <c r="I1126" s="1100">
        <v>1.0085588815774214</v>
      </c>
      <c r="K1126">
        <v>1.1852317238646155</v>
      </c>
      <c r="L1126">
        <v>0</v>
      </c>
      <c r="M1126">
        <v>8.2717114536400179E-4</v>
      </c>
      <c r="N1126">
        <v>7.676549522725036E-2</v>
      </c>
      <c r="O1126">
        <v>1.0584859062910734E-2</v>
      </c>
      <c r="P1126">
        <v>1.3981998122515433E-2</v>
      </c>
      <c r="Q1126">
        <v>4.6091983639875826E-4</v>
      </c>
      <c r="R1126">
        <v>8.2536790582362696E-4</v>
      </c>
      <c r="S1126">
        <v>7.5900964045002517E-2</v>
      </c>
      <c r="T1126">
        <v>0.85599116408348663</v>
      </c>
      <c r="U1126">
        <v>0</v>
      </c>
      <c r="V1126">
        <v>9.1548583325329613E-2</v>
      </c>
      <c r="W1126">
        <v>5.0346139719724896E-2</v>
      </c>
      <c r="X1126">
        <v>7.4070243243423272E-3</v>
      </c>
      <c r="Y1126">
        <v>2.2463793571948819E-3</v>
      </c>
    </row>
    <row r="1127" spans="1:25" x14ac:dyDescent="0.25">
      <c r="A1127" s="1096"/>
      <c r="B1127" s="1455">
        <v>877</v>
      </c>
      <c r="C1127" s="1100">
        <v>1.0179947260435598</v>
      </c>
      <c r="D1127" s="1100">
        <v>0.98774228295161071</v>
      </c>
      <c r="E1127" s="1100">
        <v>0.98027747007126964</v>
      </c>
      <c r="F1127" s="1100">
        <v>1.0042696995686533</v>
      </c>
      <c r="G1127" s="1100">
        <v>1.0293036008952889</v>
      </c>
      <c r="H1127" s="1100">
        <v>0.98965580824165722</v>
      </c>
      <c r="I1127" s="1100">
        <v>0.99375801019424681</v>
      </c>
      <c r="K1127">
        <v>1.1471812807234736</v>
      </c>
      <c r="L1127">
        <v>0</v>
      </c>
      <c r="M1127">
        <v>8.1494583956038765E-4</v>
      </c>
      <c r="N1127">
        <v>7.0650037486046952E-2</v>
      </c>
      <c r="O1127">
        <v>1.021023689521091E-2</v>
      </c>
      <c r="P1127">
        <v>1.3385729708742203E-2</v>
      </c>
      <c r="Q1127">
        <v>4.3461081158940233E-4</v>
      </c>
      <c r="R1127">
        <v>8.1312206922676787E-4</v>
      </c>
      <c r="S1127">
        <v>7.1147196321428338E-2</v>
      </c>
      <c r="T1127">
        <v>0.83248450974940025</v>
      </c>
      <c r="U1127">
        <v>0</v>
      </c>
      <c r="V1127">
        <v>9.2908141386208773E-2</v>
      </c>
      <c r="W1127">
        <v>4.696383105614417E-2</v>
      </c>
      <c r="X1127">
        <v>6.7857608522196812E-3</v>
      </c>
      <c r="Y1127">
        <v>2.2130502268171803E-3</v>
      </c>
    </row>
    <row r="1128" spans="1:25" x14ac:dyDescent="0.25">
      <c r="A1128" s="1096"/>
      <c r="B1128" s="1455">
        <v>878</v>
      </c>
      <c r="C1128" s="1100">
        <v>1.0013968758861849</v>
      </c>
      <c r="D1128" s="1100">
        <v>1.002873786748776</v>
      </c>
      <c r="E1128" s="1100">
        <v>1.0088574438703166</v>
      </c>
      <c r="F1128" s="1100">
        <v>1.0223618285876519</v>
      </c>
      <c r="G1128" s="1100">
        <v>1.0486319364961518</v>
      </c>
      <c r="H1128" s="1100">
        <v>0.98630163917306601</v>
      </c>
      <c r="I1128" s="1100">
        <v>0.98280613170044506</v>
      </c>
      <c r="K1128">
        <v>1.1655465746781208</v>
      </c>
      <c r="L1128">
        <v>0</v>
      </c>
      <c r="M1128">
        <v>7.7344239295684312E-4</v>
      </c>
      <c r="N1128">
        <v>7.3100945654239566E-2</v>
      </c>
      <c r="O1128">
        <v>1.0325862206772741E-2</v>
      </c>
      <c r="P1128">
        <v>1.3868272395019905E-2</v>
      </c>
      <c r="Q1128">
        <v>4.5238191424740583E-4</v>
      </c>
      <c r="R1128">
        <v>7.7170561701168569E-4</v>
      </c>
      <c r="S1128">
        <v>7.0871341698806184E-2</v>
      </c>
      <c r="T1128">
        <v>0.84554231291437854</v>
      </c>
      <c r="U1128">
        <v>0</v>
      </c>
      <c r="V1128">
        <v>9.4141344024342377E-2</v>
      </c>
      <c r="W1128">
        <v>4.77710850689207E-2</v>
      </c>
      <c r="X1128">
        <v>7.374437280520142E-3</v>
      </c>
      <c r="Y1128">
        <v>2.10032829681753E-3</v>
      </c>
    </row>
    <row r="1129" spans="1:25" x14ac:dyDescent="0.25">
      <c r="A1129" s="1096"/>
      <c r="B1129" s="1455">
        <v>879</v>
      </c>
      <c r="C1129" s="1100">
        <v>0.99635381761795738</v>
      </c>
      <c r="D1129" s="1100">
        <v>0.99631136728331426</v>
      </c>
      <c r="E1129" s="1100">
        <v>0.97779578001494116</v>
      </c>
      <c r="F1129" s="1100">
        <v>0.96966245086711045</v>
      </c>
      <c r="G1129" s="1100">
        <v>1.0348360481366765</v>
      </c>
      <c r="H1129" s="1100">
        <v>1.0007931804553367</v>
      </c>
      <c r="I1129" s="1100">
        <v>0.98055797883376528</v>
      </c>
      <c r="K1129">
        <v>1.1231543364136765</v>
      </c>
      <c r="L1129">
        <v>0</v>
      </c>
      <c r="M1129">
        <v>8.4342904507714864E-4</v>
      </c>
      <c r="N1129">
        <v>7.2574123991131168E-2</v>
      </c>
      <c r="O1129">
        <v>1.0395208115469179E-2</v>
      </c>
      <c r="P1129">
        <v>1.2997820476500587E-2</v>
      </c>
      <c r="Q1129">
        <v>4.4136902403357488E-4</v>
      </c>
      <c r="R1129">
        <v>8.4156253734560477E-4</v>
      </c>
      <c r="S1129">
        <v>7.1852639287462022E-2</v>
      </c>
      <c r="T1129">
        <v>0.80395794621227823</v>
      </c>
      <c r="U1129">
        <v>0</v>
      </c>
      <c r="V1129">
        <v>9.3673071109037567E-2</v>
      </c>
      <c r="W1129">
        <v>4.8315247821677725E-2</v>
      </c>
      <c r="X1129">
        <v>6.6583210781788367E-3</v>
      </c>
      <c r="Y1129">
        <v>2.2904558056388584E-3</v>
      </c>
    </row>
    <row r="1130" spans="1:25" x14ac:dyDescent="0.25">
      <c r="A1130" s="1096"/>
      <c r="B1130" s="1455">
        <v>880</v>
      </c>
      <c r="C1130" s="1100">
        <v>0.97116142425504182</v>
      </c>
      <c r="D1130" s="1100">
        <v>0.99896583220055313</v>
      </c>
      <c r="E1130" s="1100">
        <v>1.0077042261354596</v>
      </c>
      <c r="F1130" s="1100">
        <v>0.96679750068879633</v>
      </c>
      <c r="G1130" s="1100">
        <v>0.9959439463529508</v>
      </c>
      <c r="H1130" s="1100">
        <v>0.98594975418967024</v>
      </c>
      <c r="I1130" s="1100">
        <v>1.0307090515194506</v>
      </c>
      <c r="K1130">
        <v>1.1276117326105985</v>
      </c>
      <c r="L1130">
        <v>0</v>
      </c>
      <c r="M1130">
        <v>8.0039853160588877E-4</v>
      </c>
      <c r="N1130">
        <v>7.5385660302442273E-2</v>
      </c>
      <c r="O1130">
        <v>1.066359241353099E-2</v>
      </c>
      <c r="P1130">
        <v>1.3288154947234686E-2</v>
      </c>
      <c r="Q1130">
        <v>4.6663930333738432E-4</v>
      </c>
      <c r="R1130">
        <v>7.986005838084662E-4</v>
      </c>
      <c r="S1130">
        <v>7.6777064311120483E-2</v>
      </c>
      <c r="T1130">
        <v>0.79966146068896327</v>
      </c>
      <c r="U1130">
        <v>0</v>
      </c>
      <c r="V1130">
        <v>9.2659471916404945E-2</v>
      </c>
      <c r="W1130">
        <v>4.9297691806006898E-2</v>
      </c>
      <c r="X1130">
        <v>7.2402673388387139E-3</v>
      </c>
      <c r="Y1130">
        <v>2.1735275305149447E-3</v>
      </c>
    </row>
    <row r="1131" spans="1:25" x14ac:dyDescent="0.25">
      <c r="A1131" s="1096"/>
      <c r="B1131" s="1455">
        <v>881</v>
      </c>
      <c r="C1131" s="1100">
        <v>1.009545127851849</v>
      </c>
      <c r="D1131" s="1100">
        <v>1.0066168290716095</v>
      </c>
      <c r="E1131" s="1100">
        <v>0.9746436241929145</v>
      </c>
      <c r="F1131" s="1100">
        <v>1.0444850632245519</v>
      </c>
      <c r="G1131" s="1100">
        <v>0.98619511042671781</v>
      </c>
      <c r="H1131" s="1100">
        <v>0.99635385627039819</v>
      </c>
      <c r="I1131" s="1100">
        <v>1.0043371678939175</v>
      </c>
      <c r="K1131">
        <v>1.1810917770067901</v>
      </c>
      <c r="L1131">
        <v>0</v>
      </c>
      <c r="M1131">
        <v>8.3070541817416093E-4</v>
      </c>
      <c r="N1131">
        <v>7.0799930201792136E-2</v>
      </c>
      <c r="O1131">
        <v>1.0216220070302233E-2</v>
      </c>
      <c r="P1131">
        <v>1.3769788221810473E-2</v>
      </c>
      <c r="Q1131">
        <v>4.3237896532969224E-4</v>
      </c>
      <c r="R1131">
        <v>8.2885887691932071E-4</v>
      </c>
      <c r="S1131">
        <v>7.2068081677609849E-2</v>
      </c>
      <c r="T1131">
        <v>0.86621471289113428</v>
      </c>
      <c r="U1131">
        <v>0</v>
      </c>
      <c r="V1131">
        <v>9.1267482446740031E-2</v>
      </c>
      <c r="W1131">
        <v>4.722416991318662E-2</v>
      </c>
      <c r="X1131">
        <v>6.8449785304199023E-3</v>
      </c>
      <c r="Y1131">
        <v>2.2558806297190482E-3</v>
      </c>
    </row>
    <row r="1132" spans="1:25" x14ac:dyDescent="0.25">
      <c r="A1132" s="1096"/>
      <c r="B1132" s="1455">
        <v>882</v>
      </c>
      <c r="C1132" s="1100">
        <v>1.0303985185580908</v>
      </c>
      <c r="D1132" s="1100">
        <v>0.97590438757421827</v>
      </c>
      <c r="E1132" s="1100">
        <v>1.036962615446767</v>
      </c>
      <c r="F1132" s="1100">
        <v>0.95430454044632251</v>
      </c>
      <c r="G1132" s="1100">
        <v>0.99838970021922635</v>
      </c>
      <c r="H1132" s="1100">
        <v>0.98817029449864269</v>
      </c>
      <c r="I1132" s="1100">
        <v>0.98840637699666234</v>
      </c>
      <c r="K1132">
        <v>1.103908046482817</v>
      </c>
      <c r="L1132">
        <v>0</v>
      </c>
      <c r="M1132">
        <v>7.180906223194205E-4</v>
      </c>
      <c r="N1132">
        <v>7.387387947728119E-2</v>
      </c>
      <c r="O1132">
        <v>1.015430053452125E-2</v>
      </c>
      <c r="P1132">
        <v>1.3296420887295917E-2</v>
      </c>
      <c r="Q1132">
        <v>4.5745052782765499E-4</v>
      </c>
      <c r="R1132">
        <v>7.1648118881232324E-4</v>
      </c>
      <c r="S1132">
        <v>7.0353067004032058E-2</v>
      </c>
      <c r="T1132">
        <v>0.78749991121104179</v>
      </c>
      <c r="U1132">
        <v>0</v>
      </c>
      <c r="V1132">
        <v>9.1301346903843006E-2</v>
      </c>
      <c r="W1132">
        <v>4.7490641829898601E-2</v>
      </c>
      <c r="X1132">
        <v>7.5326119325937564E-3</v>
      </c>
      <c r="Y1132">
        <v>1.9500256079867284E-3</v>
      </c>
    </row>
    <row r="1133" spans="1:25" x14ac:dyDescent="0.25">
      <c r="A1133" s="1096"/>
      <c r="B1133" s="1455">
        <v>883</v>
      </c>
      <c r="C1133" s="1100">
        <v>0.97739261303588809</v>
      </c>
      <c r="D1133" s="1100">
        <v>1.0287019768612919</v>
      </c>
      <c r="E1133" s="1100">
        <v>1.0074411988625334</v>
      </c>
      <c r="F1133" s="1100">
        <v>1.024052422171809</v>
      </c>
      <c r="G1133" s="1100">
        <v>0.9889648244302619</v>
      </c>
      <c r="H1133" s="1100">
        <v>0.98159691343425393</v>
      </c>
      <c r="I1133" s="1100">
        <v>1.0037711558803821</v>
      </c>
      <c r="K1133">
        <v>1.1684373609079917</v>
      </c>
      <c r="L1133">
        <v>0</v>
      </c>
      <c r="M1133">
        <v>7.8297646308002312E-4</v>
      </c>
      <c r="N1133">
        <v>7.3685478080323163E-2</v>
      </c>
      <c r="O1133">
        <v>1.0471929648354141E-2</v>
      </c>
      <c r="P1133">
        <v>1.3876783425888203E-2</v>
      </c>
      <c r="Q1133">
        <v>4.5813149678192194E-4</v>
      </c>
      <c r="R1133">
        <v>7.8120985138652958E-4</v>
      </c>
      <c r="S1133">
        <v>7.3002205256897948E-2</v>
      </c>
      <c r="T1133">
        <v>0.84703614943146788</v>
      </c>
      <c r="U1133">
        <v>0</v>
      </c>
      <c r="V1133">
        <v>9.2198370441976527E-2</v>
      </c>
      <c r="W1133">
        <v>4.8193363363686702E-2</v>
      </c>
      <c r="X1133">
        <v>7.3905206845905321E-3</v>
      </c>
      <c r="Y1133">
        <v>2.1261956897158352E-3</v>
      </c>
    </row>
    <row r="1134" spans="1:25" x14ac:dyDescent="0.25">
      <c r="A1134" s="1096"/>
      <c r="B1134" s="1455">
        <v>884</v>
      </c>
      <c r="C1134" s="1100">
        <v>0.98707392711471709</v>
      </c>
      <c r="D1134" s="1100">
        <v>1.0039715128445632</v>
      </c>
      <c r="E1134" s="1100">
        <v>0.99454851051598325</v>
      </c>
      <c r="F1134" s="1100">
        <v>1.0114582428525054</v>
      </c>
      <c r="G1134" s="1100">
        <v>0.99987961007077564</v>
      </c>
      <c r="H1134" s="1100">
        <v>0.97296536719959015</v>
      </c>
      <c r="I1134" s="1100">
        <v>1.013293456604395</v>
      </c>
      <c r="K1134">
        <v>1.1569193891949878</v>
      </c>
      <c r="L1134">
        <v>0</v>
      </c>
      <c r="M1134">
        <v>7.970321347432267E-4</v>
      </c>
      <c r="N1134">
        <v>7.2141487415169223E-2</v>
      </c>
      <c r="O1134">
        <v>1.0466374300129597E-2</v>
      </c>
      <c r="P1134">
        <v>1.3624127834877294E-2</v>
      </c>
      <c r="Q1134">
        <v>4.5199596086682557E-4</v>
      </c>
      <c r="R1134">
        <v>7.952178559352866E-4</v>
      </c>
      <c r="S1134">
        <v>7.3515273468662087E-2</v>
      </c>
      <c r="T1134">
        <v>0.83748189951039276</v>
      </c>
      <c r="U1134">
        <v>0</v>
      </c>
      <c r="V1134">
        <v>9.2414231494746132E-2</v>
      </c>
      <c r="W1134">
        <v>4.754618767298642E-2</v>
      </c>
      <c r="X1134">
        <v>7.1153049556049461E-3</v>
      </c>
      <c r="Y1134">
        <v>2.1643208603600935E-3</v>
      </c>
    </row>
    <row r="1135" spans="1:25" x14ac:dyDescent="0.25">
      <c r="A1135" s="1096"/>
      <c r="B1135" s="1455">
        <v>885</v>
      </c>
      <c r="C1135" s="1100">
        <v>0.97601758696749141</v>
      </c>
      <c r="D1135" s="1100">
        <v>1.019415302842148</v>
      </c>
      <c r="E1135" s="1100">
        <v>1.0114842060443083</v>
      </c>
      <c r="F1135" s="1100">
        <v>1.0304239450580694</v>
      </c>
      <c r="G1135" s="1100">
        <v>1.0149804117846208</v>
      </c>
      <c r="H1135" s="1100">
        <v>1.0008462335865447</v>
      </c>
      <c r="I1135" s="1100">
        <v>0.97897240536913466</v>
      </c>
      <c r="K1135">
        <v>1.1777129813033946</v>
      </c>
      <c r="L1135">
        <v>0</v>
      </c>
      <c r="M1135">
        <v>7.9565017487331685E-4</v>
      </c>
      <c r="N1135">
        <v>7.5801078270454361E-2</v>
      </c>
      <c r="O1135">
        <v>1.0526138733881679E-2</v>
      </c>
      <c r="P1135">
        <v>1.3994809515732986E-2</v>
      </c>
      <c r="Q1135">
        <v>4.6236853000425891E-4</v>
      </c>
      <c r="R1135">
        <v>7.9388949507486347E-4</v>
      </c>
      <c r="S1135">
        <v>7.2416286681139613E-2</v>
      </c>
      <c r="T1135">
        <v>0.85203176717753548</v>
      </c>
      <c r="U1135">
        <v>0</v>
      </c>
      <c r="V1135">
        <v>9.3346858105536071E-2</v>
      </c>
      <c r="W1135">
        <v>4.945894964509203E-2</v>
      </c>
      <c r="X1135">
        <v>7.5157798238234636E-3</v>
      </c>
      <c r="Y1135">
        <v>2.1607054999920618E-3</v>
      </c>
    </row>
    <row r="1136" spans="1:25" x14ac:dyDescent="0.25">
      <c r="A1136" s="1096"/>
      <c r="B1136" s="1455">
        <v>886</v>
      </c>
      <c r="C1136" s="1100">
        <v>0.98153369004691049</v>
      </c>
      <c r="D1136" s="1100">
        <v>1.0388360728937593</v>
      </c>
      <c r="E1136" s="1100">
        <v>0.98023031102213365</v>
      </c>
      <c r="F1136" s="1100">
        <v>0.98673016314539308</v>
      </c>
      <c r="G1136" s="1100">
        <v>1.0013895726860571</v>
      </c>
      <c r="H1136" s="1100">
        <v>1.0058842741222755</v>
      </c>
      <c r="I1136" s="1100">
        <v>0.98084885991806403</v>
      </c>
      <c r="K1136">
        <v>1.1367469869327951</v>
      </c>
      <c r="L1136">
        <v>0</v>
      </c>
      <c r="M1136">
        <v>8.4200351794005729E-4</v>
      </c>
      <c r="N1136">
        <v>7.2987973175283799E-2</v>
      </c>
      <c r="O1136">
        <v>1.0378011296754969E-2</v>
      </c>
      <c r="P1136">
        <v>1.3192487282676812E-2</v>
      </c>
      <c r="Q1136">
        <v>4.4173115672612075E-4</v>
      </c>
      <c r="R1136">
        <v>8.4014959590902633E-4</v>
      </c>
      <c r="S1136">
        <v>7.1618573062026722E-2</v>
      </c>
      <c r="T1136">
        <v>0.81794830633314997</v>
      </c>
      <c r="U1136">
        <v>0</v>
      </c>
      <c r="V1136">
        <v>9.2618409657691136E-2</v>
      </c>
      <c r="W1136">
        <v>4.8519329274799315E-2</v>
      </c>
      <c r="X1136">
        <v>6.7574093708915369E-3</v>
      </c>
      <c r="Y1136">
        <v>2.2866102448245119E-3</v>
      </c>
    </row>
    <row r="1137" spans="1:25" x14ac:dyDescent="0.25">
      <c r="A1137" s="1096"/>
      <c r="B1137" s="1455">
        <v>887</v>
      </c>
      <c r="C1137" s="1100">
        <v>1.0307454039421096</v>
      </c>
      <c r="D1137" s="1100">
        <v>0.9837054119012334</v>
      </c>
      <c r="E1137" s="1100">
        <v>1.0177449236950993</v>
      </c>
      <c r="F1137" s="1100">
        <v>1.0121667529657186</v>
      </c>
      <c r="G1137" s="1100">
        <v>1.0042765262764508</v>
      </c>
      <c r="H1137" s="1100">
        <v>0.97043266454256449</v>
      </c>
      <c r="I1137" s="1100">
        <v>0.97266439592433929</v>
      </c>
      <c r="K1137">
        <v>1.1471495757187462</v>
      </c>
      <c r="L1137">
        <v>0</v>
      </c>
      <c r="M1137">
        <v>7.3142227255195867E-4</v>
      </c>
      <c r="N1137">
        <v>7.1006331620141916E-2</v>
      </c>
      <c r="O1137">
        <v>1.0112438748297059E-2</v>
      </c>
      <c r="P1137">
        <v>1.3762301465108977E-2</v>
      </c>
      <c r="Q1137">
        <v>4.4697804009717949E-4</v>
      </c>
      <c r="R1137">
        <v>7.2975299577139943E-4</v>
      </c>
      <c r="S1137">
        <v>6.8219188269975667E-2</v>
      </c>
      <c r="T1137">
        <v>0.83651882052376425</v>
      </c>
      <c r="U1137">
        <v>0</v>
      </c>
      <c r="V1137">
        <v>9.1541787122563736E-2</v>
      </c>
      <c r="W1137">
        <v>4.6160347485354157E-2</v>
      </c>
      <c r="X1137">
        <v>7.3969046287427126E-3</v>
      </c>
      <c r="Y1137">
        <v>1.986147091479346E-3</v>
      </c>
    </row>
    <row r="1138" spans="1:25" x14ac:dyDescent="0.25">
      <c r="A1138" s="1096"/>
      <c r="B1138" s="1455">
        <v>888</v>
      </c>
      <c r="C1138" s="1100">
        <v>1.0169997700431239</v>
      </c>
      <c r="D1138" s="1100">
        <v>1.0078385401060921</v>
      </c>
      <c r="E1138" s="1100">
        <v>1.0253537608876475</v>
      </c>
      <c r="F1138" s="1100">
        <v>1.014663765767736</v>
      </c>
      <c r="G1138" s="1100">
        <v>0.97688303018475597</v>
      </c>
      <c r="H1138" s="1100">
        <v>1.0165340483669394</v>
      </c>
      <c r="I1138" s="1100">
        <v>1.0218278738632329</v>
      </c>
      <c r="K1138">
        <v>1.1604546594695413</v>
      </c>
      <c r="L1138">
        <v>0</v>
      </c>
      <c r="M1138">
        <v>7.5695104676953005E-4</v>
      </c>
      <c r="N1138">
        <v>7.519855542638347E-2</v>
      </c>
      <c r="O1138">
        <v>1.0152684092632839E-2</v>
      </c>
      <c r="P1138">
        <v>1.3924266134553187E-2</v>
      </c>
      <c r="Q1138">
        <v>4.5216139972049875E-4</v>
      </c>
      <c r="R1138">
        <v>7.553018539241445E-4</v>
      </c>
      <c r="S1138">
        <v>7.3622557986396081E-2</v>
      </c>
      <c r="T1138">
        <v>0.83807677376559364</v>
      </c>
      <c r="U1138">
        <v>0</v>
      </c>
      <c r="V1138">
        <v>9.0697327714202705E-2</v>
      </c>
      <c r="W1138">
        <v>4.8668789753105193E-2</v>
      </c>
      <c r="X1138">
        <v>7.607509728605996E-3</v>
      </c>
      <c r="Y1138">
        <v>2.055682661192292E-3</v>
      </c>
    </row>
    <row r="1139" spans="1:25" x14ac:dyDescent="0.25">
      <c r="A1139" s="1096"/>
      <c r="B1139" s="1455">
        <v>889</v>
      </c>
      <c r="C1139" s="1100">
        <v>0.95768561505548577</v>
      </c>
      <c r="D1139" s="1100">
        <v>0.99087515666055981</v>
      </c>
      <c r="E1139" s="1100">
        <v>1.0012811001953279</v>
      </c>
      <c r="F1139" s="1100">
        <v>1.0259109713193453</v>
      </c>
      <c r="G1139" s="1100">
        <v>1.0053066060298723</v>
      </c>
      <c r="H1139" s="1100">
        <v>0.95602643721122949</v>
      </c>
      <c r="I1139" s="1100">
        <v>1.0177393964585155</v>
      </c>
      <c r="K1139">
        <v>1.1755039880513622</v>
      </c>
      <c r="L1139">
        <v>0</v>
      </c>
      <c r="M1139">
        <v>8.00189588508511E-4</v>
      </c>
      <c r="N1139">
        <v>7.3912818978996334E-2</v>
      </c>
      <c r="O1139">
        <v>1.0846669434452446E-2</v>
      </c>
      <c r="P1139">
        <v>1.3896154858712569E-2</v>
      </c>
      <c r="Q1139">
        <v>4.7160365700827132E-4</v>
      </c>
      <c r="R1139">
        <v>7.9833584957171436E-4</v>
      </c>
      <c r="S1139">
        <v>7.5893450061213161E-2</v>
      </c>
      <c r="T1139">
        <v>0.84899093457908326</v>
      </c>
      <c r="U1139">
        <v>0</v>
      </c>
      <c r="V1139">
        <v>9.3417761521060447E-2</v>
      </c>
      <c r="W1139">
        <v>4.8518759212676829E-2</v>
      </c>
      <c r="X1139">
        <v>7.3848824759030363E-3</v>
      </c>
      <c r="Y1139">
        <v>2.1728070111921242E-3</v>
      </c>
    </row>
    <row r="1140" spans="1:25" x14ac:dyDescent="0.25">
      <c r="A1140" s="1096"/>
      <c r="B1140" s="1455">
        <v>890</v>
      </c>
      <c r="C1140" s="1100">
        <v>0.99934797130775599</v>
      </c>
      <c r="D1140" s="1100">
        <v>1.0116972908905415</v>
      </c>
      <c r="E1140" s="1100">
        <v>0.97538633913110673</v>
      </c>
      <c r="F1140" s="1100">
        <v>1.0054457275578992</v>
      </c>
      <c r="G1140" s="1100">
        <v>1.0040308462297003</v>
      </c>
      <c r="H1140" s="1100">
        <v>1.0119552532558411</v>
      </c>
      <c r="I1140" s="1100">
        <v>1.0152377980320295</v>
      </c>
      <c r="K1140">
        <v>1.1542015915762605</v>
      </c>
      <c r="L1140">
        <v>0</v>
      </c>
      <c r="M1140">
        <v>8.4930316443891066E-4</v>
      </c>
      <c r="N1140">
        <v>7.2550389887335823E-2</v>
      </c>
      <c r="O1140">
        <v>1.0299943664826445E-2</v>
      </c>
      <c r="P1140">
        <v>1.3383817201709242E-2</v>
      </c>
      <c r="Q1140">
        <v>4.3625249642246708E-4</v>
      </c>
      <c r="R1140">
        <v>8.4744438863356894E-4</v>
      </c>
      <c r="S1140">
        <v>7.4046129469790833E-2</v>
      </c>
      <c r="T1140">
        <v>0.83378848004962935</v>
      </c>
      <c r="U1140">
        <v>0</v>
      </c>
      <c r="V1140">
        <v>9.2280795261194926E-2</v>
      </c>
      <c r="W1140">
        <v>4.8369958526764525E-2</v>
      </c>
      <c r="X1140">
        <v>6.7412195284999926E-3</v>
      </c>
      <c r="Y1140">
        <v>2.3064642658929407E-3</v>
      </c>
    </row>
    <row r="1141" spans="1:25" x14ac:dyDescent="0.25">
      <c r="A1141" s="1096"/>
      <c r="B1141" s="1455">
        <v>891</v>
      </c>
      <c r="C1141" s="1100">
        <v>1.0005528693020096</v>
      </c>
      <c r="D1141" s="1100">
        <v>1.0033052582628412</v>
      </c>
      <c r="E1141" s="1100">
        <v>0.98939907816262707</v>
      </c>
      <c r="F1141" s="1100">
        <v>0.98817391708433888</v>
      </c>
      <c r="G1141" s="1100">
        <v>0.97328976652706978</v>
      </c>
      <c r="H1141" s="1100">
        <v>1.0343350616232392</v>
      </c>
      <c r="I1141" s="1100">
        <v>1.0062653075239241</v>
      </c>
      <c r="K1141">
        <v>1.1424383196180925</v>
      </c>
      <c r="L1141">
        <v>0</v>
      </c>
      <c r="M1141">
        <v>8.4507988298708524E-4</v>
      </c>
      <c r="N1141">
        <v>7.5319125316531066E-2</v>
      </c>
      <c r="O1141">
        <v>1.0326438600410166E-2</v>
      </c>
      <c r="P1141">
        <v>1.3309318935022959E-2</v>
      </c>
      <c r="Q1141">
        <v>4.4364019366164621E-4</v>
      </c>
      <c r="R1141">
        <v>8.4327036837329706E-4</v>
      </c>
      <c r="S1141">
        <v>7.4547784955148841E-2</v>
      </c>
      <c r="T1141">
        <v>0.81854081262323997</v>
      </c>
      <c r="U1141">
        <v>0</v>
      </c>
      <c r="V1141">
        <v>9.0938305880806897E-2</v>
      </c>
      <c r="W1141">
        <v>4.9793598006667147E-2</v>
      </c>
      <c r="X1141">
        <v>6.9260006625084811E-3</v>
      </c>
      <c r="Y1141">
        <v>2.2951039587098898E-3</v>
      </c>
    </row>
    <row r="1142" spans="1:25" x14ac:dyDescent="0.25">
      <c r="A1142" s="1096"/>
      <c r="B1142" s="1455">
        <v>892</v>
      </c>
      <c r="C1142" s="1100">
        <v>0.99669031609418068</v>
      </c>
      <c r="D1142" s="1100">
        <v>1.0152664932986264</v>
      </c>
      <c r="E1142" s="1100">
        <v>1.0184653820145417</v>
      </c>
      <c r="F1142" s="1100">
        <v>0.99344850094107506</v>
      </c>
      <c r="G1142" s="1100">
        <v>0.95091020506624857</v>
      </c>
      <c r="H1142" s="1100">
        <v>0.96489876768862748</v>
      </c>
      <c r="I1142" s="1100">
        <v>0.96768967688572383</v>
      </c>
      <c r="K1142">
        <v>1.1326722654958374</v>
      </c>
      <c r="L1142">
        <v>0</v>
      </c>
      <c r="M1142">
        <v>7.4154730844391251E-4</v>
      </c>
      <c r="N1142">
        <v>7.2144979897637643E-2</v>
      </c>
      <c r="O1142">
        <v>1.0326924272895796E-2</v>
      </c>
      <c r="P1142">
        <v>1.3543578530041109E-2</v>
      </c>
      <c r="Q1142">
        <v>4.5678586732030452E-4</v>
      </c>
      <c r="R1142">
        <v>7.3984521778212495E-4</v>
      </c>
      <c r="S1142">
        <v>6.8839896711661783E-2</v>
      </c>
      <c r="T1142">
        <v>0.82100190412328811</v>
      </c>
      <c r="U1142">
        <v>0</v>
      </c>
      <c r="V1142">
        <v>9.0082714678025269E-2</v>
      </c>
      <c r="W1142">
        <v>4.6880774609547773E-2</v>
      </c>
      <c r="X1142">
        <v>7.3827941031883336E-3</v>
      </c>
      <c r="Y1142">
        <v>2.0136147928924487E-3</v>
      </c>
    </row>
    <row r="1143" spans="1:25" x14ac:dyDescent="0.25">
      <c r="A1143" s="1096"/>
      <c r="B1143" s="1455">
        <v>893</v>
      </c>
      <c r="C1143" s="1100">
        <v>0.97736397040805367</v>
      </c>
      <c r="D1143" s="1100">
        <v>0.99828651663717494</v>
      </c>
      <c r="E1143" s="1100">
        <v>0.98962437487976485</v>
      </c>
      <c r="F1143" s="1100">
        <v>0.9684370987872909</v>
      </c>
      <c r="G1143" s="1100">
        <v>0.98612530919423236</v>
      </c>
      <c r="H1143" s="1100">
        <v>1.0158467364908357</v>
      </c>
      <c r="I1143" s="1100">
        <v>0.99682317133409104</v>
      </c>
      <c r="K1143">
        <v>1.1287220869171108</v>
      </c>
      <c r="L1143">
        <v>0</v>
      </c>
      <c r="M1143">
        <v>8.5097528761143057E-4</v>
      </c>
      <c r="N1143">
        <v>7.5893281353430098E-2</v>
      </c>
      <c r="O1143">
        <v>1.0592745234168801E-2</v>
      </c>
      <c r="P1143">
        <v>1.3112142597295436E-2</v>
      </c>
      <c r="Q1143">
        <v>4.5518482131349391E-4</v>
      </c>
      <c r="R1143">
        <v>8.4911998679159924E-4</v>
      </c>
      <c r="S1143">
        <v>7.5027176144692398E-2</v>
      </c>
      <c r="T1143">
        <v>0.80217756084346281</v>
      </c>
      <c r="U1143">
        <v>0</v>
      </c>
      <c r="V1143">
        <v>9.2074763950542857E-2</v>
      </c>
      <c r="W1143">
        <v>5.0166399656379486E-2</v>
      </c>
      <c r="X1143">
        <v>6.9136629249268531E-3</v>
      </c>
      <c r="Y1143">
        <v>2.3110246917183159E-3</v>
      </c>
    </row>
    <row r="1144" spans="1:25" x14ac:dyDescent="0.25">
      <c r="A1144" s="1096"/>
      <c r="B1144" s="1455">
        <v>894</v>
      </c>
      <c r="C1144" s="1100">
        <v>0.97275128579768044</v>
      </c>
      <c r="D1144" s="1100">
        <v>0.98797725206369336</v>
      </c>
      <c r="E1144" s="1100">
        <v>1.0014244065328035</v>
      </c>
      <c r="F1144" s="1100">
        <v>1.0087597461052396</v>
      </c>
      <c r="G1144" s="1100">
        <v>0.95968049633337271</v>
      </c>
      <c r="H1144" s="1100">
        <v>0.98721427303924503</v>
      </c>
      <c r="I1144" s="1100">
        <v>1.0037954053230178</v>
      </c>
      <c r="K1144">
        <v>1.1599234045434388</v>
      </c>
      <c r="L1144">
        <v>0</v>
      </c>
      <c r="M1144">
        <v>8.1420776984372312E-4</v>
      </c>
      <c r="N1144">
        <v>7.5245751252738441E-2</v>
      </c>
      <c r="O1144">
        <v>1.0691245981281822E-2</v>
      </c>
      <c r="P1144">
        <v>1.3661177798458298E-2</v>
      </c>
      <c r="Q1144">
        <v>4.6491289692127217E-4</v>
      </c>
      <c r="R1144">
        <v>8.1238114485496183E-4</v>
      </c>
      <c r="S1144">
        <v>7.5121765558567824E-2</v>
      </c>
      <c r="T1144">
        <v>0.83478790206708042</v>
      </c>
      <c r="U1144">
        <v>0</v>
      </c>
      <c r="V1144">
        <v>9.1066364639116562E-2</v>
      </c>
      <c r="W1144">
        <v>4.9389536599166402E-2</v>
      </c>
      <c r="X1144">
        <v>7.2855407001721747E-3</v>
      </c>
      <c r="Y1144">
        <v>2.2110336749227772E-3</v>
      </c>
    </row>
    <row r="1145" spans="1:25" x14ac:dyDescent="0.25">
      <c r="A1145" s="1096"/>
      <c r="B1145" s="1455">
        <v>895</v>
      </c>
      <c r="C1145" s="1100">
        <v>1.0154185911714604</v>
      </c>
      <c r="D1145" s="1100">
        <v>1.0128030696514738</v>
      </c>
      <c r="E1145" s="1100">
        <v>1.0117062642021548</v>
      </c>
      <c r="F1145" s="1100">
        <v>1.009230974590599</v>
      </c>
      <c r="G1145" s="1100">
        <v>1.0300434721239904</v>
      </c>
      <c r="H1145" s="1100">
        <v>0.99461152825674437</v>
      </c>
      <c r="I1145" s="1100">
        <v>1.0001284834116055</v>
      </c>
      <c r="K1145">
        <v>1.1522939838606894</v>
      </c>
      <c r="L1145">
        <v>0</v>
      </c>
      <c r="M1145">
        <v>7.6164199187906214E-4</v>
      </c>
      <c r="N1145">
        <v>7.2608786307759604E-2</v>
      </c>
      <c r="O1145">
        <v>1.0144137624007796E-2</v>
      </c>
      <c r="P1145">
        <v>1.3733124405257037E-2</v>
      </c>
      <c r="Q1145">
        <v>4.4568767988247096E-4</v>
      </c>
      <c r="R1145">
        <v>7.5994600312046759E-4</v>
      </c>
      <c r="S1145">
        <v>7.109992952829472E-2</v>
      </c>
      <c r="T1145">
        <v>0.83449307756772173</v>
      </c>
      <c r="U1145">
        <v>0</v>
      </c>
      <c r="V1145">
        <v>9.3005315832209487E-2</v>
      </c>
      <c r="W1145">
        <v>4.736983661243737E-2</v>
      </c>
      <c r="X1145">
        <v>7.327461787515646E-3</v>
      </c>
      <c r="Y1145">
        <v>2.0683225043613119E-3</v>
      </c>
    </row>
    <row r="1146" spans="1:25" x14ac:dyDescent="0.25">
      <c r="A1146" s="1096"/>
      <c r="B1146" s="1455">
        <v>896</v>
      </c>
      <c r="C1146" s="1100">
        <v>0.97294026264778521</v>
      </c>
      <c r="D1146" s="1100">
        <v>0.9905289049922591</v>
      </c>
      <c r="E1146" s="1100">
        <v>1.0038311371130146</v>
      </c>
      <c r="F1146" s="1100">
        <v>0.9965563110809279</v>
      </c>
      <c r="G1146" s="1100">
        <v>0.99377594515593426</v>
      </c>
      <c r="H1146" s="1100">
        <v>0.99231789471697263</v>
      </c>
      <c r="I1146" s="1100">
        <v>0.98634148754467954</v>
      </c>
      <c r="K1146">
        <v>1.1504910824931556</v>
      </c>
      <c r="L1146">
        <v>0</v>
      </c>
      <c r="M1146">
        <v>8.1334197260119411E-4</v>
      </c>
      <c r="N1146">
        <v>7.5715048007896094E-2</v>
      </c>
      <c r="O1146">
        <v>1.0678959582655134E-2</v>
      </c>
      <c r="P1146">
        <v>1.3548878653495964E-2</v>
      </c>
      <c r="Q1146">
        <v>4.6550176492607474E-4</v>
      </c>
      <c r="R1146">
        <v>8.1152667455838704E-4</v>
      </c>
      <c r="S1146">
        <v>7.3917522805993424E-2</v>
      </c>
      <c r="T1146">
        <v>0.8245305010712447</v>
      </c>
      <c r="U1146">
        <v>0</v>
      </c>
      <c r="V1146">
        <v>9.2519476694648273E-2</v>
      </c>
      <c r="W1146">
        <v>4.9626680966690699E-2</v>
      </c>
      <c r="X1146">
        <v>7.2816201551954901E-3</v>
      </c>
      <c r="Y1146">
        <v>2.2087080884515588E-3</v>
      </c>
    </row>
    <row r="1147" spans="1:25" x14ac:dyDescent="0.25">
      <c r="A1147" s="1096"/>
      <c r="B1147" s="1455">
        <v>897</v>
      </c>
      <c r="C1147" s="1100">
        <v>1.0031391770372555</v>
      </c>
      <c r="D1147" s="1100">
        <v>1.0207995263029817</v>
      </c>
      <c r="E1147" s="1100">
        <v>0.99832286819221328</v>
      </c>
      <c r="F1147" s="1100">
        <v>1.0290893072038589</v>
      </c>
      <c r="G1147" s="1100">
        <v>1.0115338798869773</v>
      </c>
      <c r="H1147" s="1100">
        <v>0.97825785680943844</v>
      </c>
      <c r="I1147" s="1100">
        <v>1.0238091700050673</v>
      </c>
      <c r="K1147">
        <v>1.1687922034598268</v>
      </c>
      <c r="L1147">
        <v>0</v>
      </c>
      <c r="M1147">
        <v>7.7720283023370736E-4</v>
      </c>
      <c r="N1147">
        <v>7.1154540038058711E-2</v>
      </c>
      <c r="O1147">
        <v>1.0231726892942399E-2</v>
      </c>
      <c r="P1147">
        <v>1.3847987843315195E-2</v>
      </c>
      <c r="Q1147">
        <v>4.4354548140177781E-4</v>
      </c>
      <c r="R1147">
        <v>7.7544325999903045E-4</v>
      </c>
      <c r="S1147">
        <v>7.2688288478456584E-2</v>
      </c>
      <c r="T1147">
        <v>0.85182272685930116</v>
      </c>
      <c r="U1147">
        <v>0</v>
      </c>
      <c r="V1147">
        <v>9.2510990962058198E-2</v>
      </c>
      <c r="W1147">
        <v>4.6790343802726925E-2</v>
      </c>
      <c r="X1147">
        <v>7.1933117428858873E-3</v>
      </c>
      <c r="Y1147">
        <v>2.1105009289154033E-3</v>
      </c>
    </row>
    <row r="1148" spans="1:25" x14ac:dyDescent="0.25">
      <c r="A1148" s="1096"/>
      <c r="B1148" s="1455">
        <v>898</v>
      </c>
      <c r="C1148" s="1100">
        <v>1.0184334607715972</v>
      </c>
      <c r="D1148" s="1100">
        <v>1.0313450902337999</v>
      </c>
      <c r="E1148" s="1100">
        <v>1.001138379113917</v>
      </c>
      <c r="F1148" s="1100">
        <v>1.0180959095465232</v>
      </c>
      <c r="G1148" s="1100">
        <v>0.9931457972952753</v>
      </c>
      <c r="H1148" s="1100">
        <v>1.0344087010439091</v>
      </c>
      <c r="I1148" s="1100">
        <v>0.9990860448806963</v>
      </c>
      <c r="K1148">
        <v>1.1617426684882355</v>
      </c>
      <c r="L1148">
        <v>0</v>
      </c>
      <c r="M1148">
        <v>8.0145664360857689E-4</v>
      </c>
      <c r="N1148">
        <v>7.4010964377232313E-2</v>
      </c>
      <c r="O1148">
        <v>1.0037619354334894E-2</v>
      </c>
      <c r="P1148">
        <v>1.372134088839844E-2</v>
      </c>
      <c r="Q1148">
        <v>4.3636430683564295E-4</v>
      </c>
      <c r="R1148">
        <v>7.9974065877070515E-4</v>
      </c>
      <c r="S1148">
        <v>7.1716338377651276E-2</v>
      </c>
      <c r="T1148">
        <v>0.84253320718613312</v>
      </c>
      <c r="U1148">
        <v>0</v>
      </c>
      <c r="V1148">
        <v>9.1354231363630481E-2</v>
      </c>
      <c r="W1148">
        <v>4.8587302357149503E-2</v>
      </c>
      <c r="X1148">
        <v>7.1703858229707424E-3</v>
      </c>
      <c r="Y1148">
        <v>2.176630438736549E-3</v>
      </c>
    </row>
    <row r="1149" spans="1:25" x14ac:dyDescent="0.25">
      <c r="A1149" s="1096"/>
      <c r="B1149" s="1455">
        <v>899</v>
      </c>
      <c r="C1149" s="1100">
        <v>1.0227408322068041</v>
      </c>
      <c r="D1149" s="1100">
        <v>1.0275356542602798</v>
      </c>
      <c r="E1149" s="1100">
        <v>1.0160804118672271</v>
      </c>
      <c r="F1149" s="1100">
        <v>0.97907062296386316</v>
      </c>
      <c r="G1149" s="1100">
        <v>0.98640638496219879</v>
      </c>
      <c r="H1149" s="1100">
        <v>1.0109095125503018</v>
      </c>
      <c r="I1149" s="1100">
        <v>1.0009397238652713</v>
      </c>
      <c r="K1149">
        <v>1.1249232097742177</v>
      </c>
      <c r="L1149">
        <v>0</v>
      </c>
      <c r="M1149">
        <v>7.5723646422510031E-4</v>
      </c>
      <c r="N1149">
        <v>7.3150769321707165E-2</v>
      </c>
      <c r="O1149">
        <v>1.0014887412533325E-2</v>
      </c>
      <c r="P1149">
        <v>1.3396946999147971E-2</v>
      </c>
      <c r="Q1149">
        <v>4.4193304460371025E-4</v>
      </c>
      <c r="R1149">
        <v>7.5557747023166253E-4</v>
      </c>
      <c r="S1149">
        <v>7.0773581026969123E-2</v>
      </c>
      <c r="T1149">
        <v>0.8092730780503895</v>
      </c>
      <c r="U1149">
        <v>0</v>
      </c>
      <c r="V1149">
        <v>9.0965946958739483E-2</v>
      </c>
      <c r="W1149">
        <v>4.7600865273803965E-2</v>
      </c>
      <c r="X1149">
        <v>7.250427882392536E-3</v>
      </c>
      <c r="Y1149">
        <v>2.0564327979244639E-3</v>
      </c>
    </row>
    <row r="1150" spans="1:25" x14ac:dyDescent="0.25">
      <c r="A1150" s="1096"/>
      <c r="B1150" s="1455">
        <v>900</v>
      </c>
      <c r="C1150" s="1100">
        <v>1.0000000463782512</v>
      </c>
      <c r="D1150" s="1100">
        <v>1.0299764347724312</v>
      </c>
      <c r="E1150" s="1100">
        <v>0.99890891283466687</v>
      </c>
      <c r="F1150" s="1100">
        <v>0.98212278367137373</v>
      </c>
      <c r="G1150" s="1100">
        <v>1.0054573365536512</v>
      </c>
      <c r="H1150" s="1100">
        <v>0.95836592775578222</v>
      </c>
      <c r="I1150" s="1100">
        <v>0.9723692080889782</v>
      </c>
      <c r="K1150">
        <v>1.1219128779823089</v>
      </c>
      <c r="L1150">
        <v>0</v>
      </c>
      <c r="M1150">
        <v>7.601354792576043E-4</v>
      </c>
      <c r="N1150">
        <v>6.9712043992169834E-2</v>
      </c>
      <c r="O1150">
        <v>1.0227357272811087E-2</v>
      </c>
      <c r="P1150">
        <v>1.3259795403303347E-2</v>
      </c>
      <c r="Q1150">
        <v>4.4361750770160872E-4</v>
      </c>
      <c r="R1150">
        <v>7.5837882935296823E-4</v>
      </c>
      <c r="S1150">
        <v>6.8157991287362732E-2</v>
      </c>
      <c r="T1150">
        <v>0.81290832730269791</v>
      </c>
      <c r="U1150">
        <v>0</v>
      </c>
      <c r="V1150">
        <v>9.2328828393089743E-2</v>
      </c>
      <c r="W1150">
        <v>4.58257943252144E-2</v>
      </c>
      <c r="X1150">
        <v>6.9868219738769711E-3</v>
      </c>
      <c r="Y1150">
        <v>2.0640571739848723E-3</v>
      </c>
    </row>
    <row r="1151" spans="1:25" x14ac:dyDescent="0.25">
      <c r="A1151" s="1096"/>
      <c r="B1151" s="1455">
        <v>901</v>
      </c>
      <c r="C1151" s="1100">
        <v>1.0145269189460886</v>
      </c>
      <c r="D1151" s="1100">
        <v>0.98858600856126333</v>
      </c>
      <c r="E1151" s="1100">
        <v>1.021241817302607</v>
      </c>
      <c r="F1151" s="1100">
        <v>0.97405081357223289</v>
      </c>
      <c r="G1151" s="1100">
        <v>1.003935900304171</v>
      </c>
      <c r="H1151" s="1100">
        <v>0.96589904543090399</v>
      </c>
      <c r="I1151" s="1100">
        <v>1.0362987093406208</v>
      </c>
      <c r="K1151">
        <v>1.1222181023976652</v>
      </c>
      <c r="L1151">
        <v>0</v>
      </c>
      <c r="M1151">
        <v>7.3282952993094792E-4</v>
      </c>
      <c r="N1151">
        <v>7.1896690244783262E-2</v>
      </c>
      <c r="O1151">
        <v>1.0254916274748045E-2</v>
      </c>
      <c r="P1151">
        <v>1.3436317304210679E-2</v>
      </c>
      <c r="Q1151">
        <v>4.5485462121495863E-4</v>
      </c>
      <c r="R1151">
        <v>7.3114919133738501E-4</v>
      </c>
      <c r="S1151">
        <v>7.3470817937305491E-2</v>
      </c>
      <c r="T1151">
        <v>0.80479403811212324</v>
      </c>
      <c r="U1151">
        <v>0</v>
      </c>
      <c r="V1151">
        <v>9.1912253712902334E-2</v>
      </c>
      <c r="W1151">
        <v>4.6643596257562939E-2</v>
      </c>
      <c r="X1151">
        <v>7.3663511958530718E-3</v>
      </c>
      <c r="Y1151">
        <v>1.9899470755542136E-3</v>
      </c>
    </row>
    <row r="1152" spans="1:25" x14ac:dyDescent="0.25">
      <c r="A1152" s="1096"/>
      <c r="B1152" s="1455">
        <v>902</v>
      </c>
      <c r="C1152" s="1100">
        <v>1.0320365631345731</v>
      </c>
      <c r="D1152" s="1100">
        <v>0.98060876083417103</v>
      </c>
      <c r="E1152" s="1100">
        <v>1.0077759418569883</v>
      </c>
      <c r="F1152" s="1100">
        <v>1.0388517654671425</v>
      </c>
      <c r="G1152" s="1100">
        <v>0.97946034994153564</v>
      </c>
      <c r="H1152" s="1100">
        <v>0.97548199017717374</v>
      </c>
      <c r="I1152" s="1100">
        <v>0.99550490281694048</v>
      </c>
      <c r="K1152">
        <v>1.170600594975362</v>
      </c>
      <c r="L1152">
        <v>0</v>
      </c>
      <c r="M1152">
        <v>7.5062730510821497E-4</v>
      </c>
      <c r="N1152">
        <v>7.0711552195403204E-2</v>
      </c>
      <c r="O1152">
        <v>1.0109340128348665E-2</v>
      </c>
      <c r="P1152">
        <v>1.3983020332557152E-2</v>
      </c>
      <c r="Q1152">
        <v>4.4241695263510497E-4</v>
      </c>
      <c r="R1152">
        <v>7.489230653974086E-4</v>
      </c>
      <c r="S1152">
        <v>7.0035758348944321E-2</v>
      </c>
      <c r="T1152">
        <v>0.85925436201762928</v>
      </c>
      <c r="U1152">
        <v>0</v>
      </c>
      <c r="V1152">
        <v>9.0449411578052516E-2</v>
      </c>
      <c r="W1152">
        <v>4.6239147041174593E-2</v>
      </c>
      <c r="X1152">
        <v>7.3389689187362307E-3</v>
      </c>
      <c r="Y1152">
        <v>2.038321701589589E-3</v>
      </c>
    </row>
    <row r="1153" spans="1:25" x14ac:dyDescent="0.25">
      <c r="A1153" s="1096"/>
      <c r="B1153" s="1455">
        <v>903</v>
      </c>
      <c r="C1153" s="1100">
        <v>1.0373244960104153</v>
      </c>
      <c r="D1153" s="1100">
        <v>0.99904623935393955</v>
      </c>
      <c r="E1153" s="1100">
        <v>1.0169045491926822</v>
      </c>
      <c r="F1153" s="1100">
        <v>0.98047528425044594</v>
      </c>
      <c r="G1153" s="1100">
        <v>1.0177701765242908</v>
      </c>
      <c r="H1153" s="1100">
        <v>0.96017106449558476</v>
      </c>
      <c r="I1153" s="1100">
        <v>1.0098910042368989</v>
      </c>
      <c r="K1153">
        <v>1.1191818416715469</v>
      </c>
      <c r="L1153">
        <v>0</v>
      </c>
      <c r="M1153">
        <v>7.1591097964867993E-4</v>
      </c>
      <c r="N1153">
        <v>6.9322792631743319E-2</v>
      </c>
      <c r="O1153">
        <v>9.9860307542199572E-3</v>
      </c>
      <c r="P1153">
        <v>1.3415393218359727E-2</v>
      </c>
      <c r="Q1153">
        <v>4.4102155319479525E-4</v>
      </c>
      <c r="R1153">
        <v>7.1425964160271472E-4</v>
      </c>
      <c r="S1153">
        <v>6.9414069884150859E-2</v>
      </c>
      <c r="T1153">
        <v>0.81038106808206412</v>
      </c>
      <c r="U1153">
        <v>0</v>
      </c>
      <c r="V1153">
        <v>9.1965878319346175E-2</v>
      </c>
      <c r="W1153">
        <v>4.5088108792754211E-2</v>
      </c>
      <c r="X1153">
        <v>7.2251504849454541E-3</v>
      </c>
      <c r="Y1153">
        <v>1.9439792888150155E-3</v>
      </c>
    </row>
    <row r="1154" spans="1:25" x14ac:dyDescent="0.25">
      <c r="A1154" s="1096"/>
      <c r="B1154" s="1455">
        <v>904</v>
      </c>
      <c r="C1154" s="1100">
        <v>1.0296921377889796</v>
      </c>
      <c r="D1154" s="1100">
        <v>1.0091000353060455</v>
      </c>
      <c r="E1154" s="1100">
        <v>1.0214069189457073</v>
      </c>
      <c r="F1154" s="1100">
        <v>0.95471378699811071</v>
      </c>
      <c r="G1154" s="1100">
        <v>0.9950588875641081</v>
      </c>
      <c r="H1154" s="1100">
        <v>1.019609356493451</v>
      </c>
      <c r="I1154" s="1100">
        <v>0.97922146690496992</v>
      </c>
      <c r="K1154">
        <v>1.104963414898755</v>
      </c>
      <c r="L1154">
        <v>0</v>
      </c>
      <c r="M1154">
        <v>7.5569072339682936E-4</v>
      </c>
      <c r="N1154">
        <v>7.4185476874769701E-2</v>
      </c>
      <c r="O1154">
        <v>1.002126775134838E-2</v>
      </c>
      <c r="P1154">
        <v>1.3154745561234017E-2</v>
      </c>
      <c r="Q1154">
        <v>4.4456410015887023E-4</v>
      </c>
      <c r="R1154">
        <v>7.5404924240978952E-4</v>
      </c>
      <c r="S1154">
        <v>6.9752637503490714E-2</v>
      </c>
      <c r="T1154">
        <v>0.78880679996573366</v>
      </c>
      <c r="U1154">
        <v>0</v>
      </c>
      <c r="V1154">
        <v>9.1172981809190146E-2</v>
      </c>
      <c r="W1154">
        <v>4.8123822450318328E-2</v>
      </c>
      <c r="X1154">
        <v>7.250486897923054E-3</v>
      </c>
      <c r="Y1154">
        <v>2.0522734655734915E-3</v>
      </c>
    </row>
    <row r="1155" spans="1:25" x14ac:dyDescent="0.25">
      <c r="A1155" s="1096"/>
      <c r="B1155" s="1455">
        <v>905</v>
      </c>
      <c r="C1155" s="1100">
        <v>1.0147859086092039</v>
      </c>
      <c r="D1155" s="1100">
        <v>1.0215563187899284</v>
      </c>
      <c r="E1155" s="1100">
        <v>1.0063355307403976</v>
      </c>
      <c r="F1155" s="1100">
        <v>1.0139156000211182</v>
      </c>
      <c r="G1155" s="1100">
        <v>0.97548395959331879</v>
      </c>
      <c r="H1155" s="1100">
        <v>1.0012696619901968</v>
      </c>
      <c r="I1155" s="1100">
        <v>1.0377309413076345</v>
      </c>
      <c r="K1155">
        <v>1.1568075211204623</v>
      </c>
      <c r="L1155">
        <v>0</v>
      </c>
      <c r="M1155">
        <v>7.7315972139777554E-4</v>
      </c>
      <c r="N1155">
        <v>7.2522322688806359E-2</v>
      </c>
      <c r="O1155">
        <v>1.0113862506814928E-2</v>
      </c>
      <c r="P1155">
        <v>1.3741288028367099E-2</v>
      </c>
      <c r="Q1155">
        <v>4.4197697236838585E-4</v>
      </c>
      <c r="R1155">
        <v>7.7144953384440901E-4</v>
      </c>
      <c r="S1155">
        <v>7.376211338429238E-2</v>
      </c>
      <c r="T1155">
        <v>0.83872553316149334</v>
      </c>
      <c r="U1155">
        <v>0</v>
      </c>
      <c r="V1155">
        <v>9.0687455798245858E-2</v>
      </c>
      <c r="W1155">
        <v>4.7463622894945955E-2</v>
      </c>
      <c r="X1155">
        <v>7.2514245498256817E-3</v>
      </c>
      <c r="Y1155">
        <v>2.0996313228539959E-3</v>
      </c>
    </row>
    <row r="1156" spans="1:25" x14ac:dyDescent="0.25">
      <c r="A1156" s="1096"/>
      <c r="B1156" s="1455">
        <v>906</v>
      </c>
      <c r="C1156" s="1100">
        <v>0.97479883596979622</v>
      </c>
      <c r="D1156" s="1100">
        <v>0.99480468104883712</v>
      </c>
      <c r="E1156" s="1100">
        <v>0.97537742848056619</v>
      </c>
      <c r="F1156" s="1100">
        <v>0.98688175809481316</v>
      </c>
      <c r="G1156" s="1100">
        <v>0.98587156283478761</v>
      </c>
      <c r="H1156" s="1100">
        <v>0.9733153962279314</v>
      </c>
      <c r="I1156" s="1100">
        <v>0.98630808216389465</v>
      </c>
      <c r="K1156">
        <v>1.1365940649890085</v>
      </c>
      <c r="L1156">
        <v>0</v>
      </c>
      <c r="M1156">
        <v>8.4312091406403154E-4</v>
      </c>
      <c r="N1156">
        <v>7.2014067222072417E-2</v>
      </c>
      <c r="O1156">
        <v>1.0630692776780833E-2</v>
      </c>
      <c r="P1156">
        <v>1.3158944090467093E-2</v>
      </c>
      <c r="Q1156">
        <v>4.5025723472665356E-4</v>
      </c>
      <c r="R1156">
        <v>8.4120241387210129E-4</v>
      </c>
      <c r="S1156">
        <v>7.2793675491745938E-2</v>
      </c>
      <c r="T1156">
        <v>0.81839448009950699</v>
      </c>
      <c r="U1156">
        <v>0</v>
      </c>
      <c r="V1156">
        <v>9.2128420117536594E-2</v>
      </c>
      <c r="W1156">
        <v>4.8012646947085326E-2</v>
      </c>
      <c r="X1156">
        <v>6.7233238410196261E-3</v>
      </c>
      <c r="Y1156">
        <v>2.2894756682586537E-3</v>
      </c>
    </row>
    <row r="1157" spans="1:25" x14ac:dyDescent="0.25">
      <c r="A1157" s="1096"/>
      <c r="B1157" s="1455">
        <v>907</v>
      </c>
      <c r="C1157" s="1100">
        <v>1.0017830129385263</v>
      </c>
      <c r="D1157" s="1100">
        <v>1.0135387195860346</v>
      </c>
      <c r="E1157" s="1100">
        <v>1.0112786386531931</v>
      </c>
      <c r="F1157" s="1100">
        <v>1.0173046499987659</v>
      </c>
      <c r="G1157" s="1100">
        <v>0.98989299486274751</v>
      </c>
      <c r="H1157" s="1100">
        <v>1.019784001680605</v>
      </c>
      <c r="I1157" s="1100">
        <v>1.0169400053026805</v>
      </c>
      <c r="K1157">
        <v>1.1658631482516164</v>
      </c>
      <c r="L1157">
        <v>0</v>
      </c>
      <c r="M1157">
        <v>7.9202120988860016E-4</v>
      </c>
      <c r="N1157">
        <v>7.541164594855243E-2</v>
      </c>
      <c r="O1157">
        <v>1.0279087529065978E-2</v>
      </c>
      <c r="P1157">
        <v>1.384574013445858E-2</v>
      </c>
      <c r="Q1157">
        <v>4.514239174009375E-4</v>
      </c>
      <c r="R1157">
        <v>7.9030110791044738E-4</v>
      </c>
      <c r="S1157">
        <v>7.4285502515627599E-2</v>
      </c>
      <c r="T1157">
        <v>0.84119751842027113</v>
      </c>
      <c r="U1157">
        <v>0</v>
      </c>
      <c r="V1157">
        <v>9.1621252497275221E-2</v>
      </c>
      <c r="W1157">
        <v>4.9210809893066122E-2</v>
      </c>
      <c r="X1157">
        <v>7.4109484048333818E-3</v>
      </c>
      <c r="Y1157">
        <v>2.1509390930420326E-3</v>
      </c>
    </row>
    <row r="1158" spans="1:25" x14ac:dyDescent="0.25">
      <c r="A1158" s="1096"/>
      <c r="B1158" s="1455">
        <v>908</v>
      </c>
      <c r="C1158" s="1100">
        <v>0.97394730748794889</v>
      </c>
      <c r="D1158" s="1100">
        <v>1.0275999856596454</v>
      </c>
      <c r="E1158" s="1100">
        <v>1.0106004027471707</v>
      </c>
      <c r="F1158" s="1100">
        <v>1.0301895311410998</v>
      </c>
      <c r="G1158" s="1100">
        <v>0.99486859132483763</v>
      </c>
      <c r="H1158" s="1100">
        <v>0.98983164812253011</v>
      </c>
      <c r="I1158" s="1100">
        <v>1.0214327598019715</v>
      </c>
      <c r="K1158">
        <v>1.1776659882237364</v>
      </c>
      <c r="L1158">
        <v>0</v>
      </c>
      <c r="M1158">
        <v>7.8749296419243638E-4</v>
      </c>
      <c r="N1158">
        <v>7.482220267065659E-2</v>
      </c>
      <c r="O1158">
        <v>1.0514531830668847E-2</v>
      </c>
      <c r="P1158">
        <v>1.4007485620172073E-2</v>
      </c>
      <c r="Q1158">
        <v>4.614510579355184E-4</v>
      </c>
      <c r="R1158">
        <v>7.8573094382291381E-4</v>
      </c>
      <c r="S1158">
        <v>7.494195777384112E-2</v>
      </c>
      <c r="T1158">
        <v>0.85189788887275875</v>
      </c>
      <c r="U1158">
        <v>0</v>
      </c>
      <c r="V1158">
        <v>9.2540993182240391E-2</v>
      </c>
      <c r="W1158">
        <v>4.8845678294973979E-2</v>
      </c>
      <c r="X1158">
        <v>7.497060327909701E-3</v>
      </c>
      <c r="Y1158">
        <v>2.1385006129499519E-3</v>
      </c>
    </row>
    <row r="1159" spans="1:25" x14ac:dyDescent="0.25">
      <c r="A1159" s="1096"/>
      <c r="B1159" s="1455">
        <v>909</v>
      </c>
      <c r="C1159" s="1100">
        <v>1.0320851289831798</v>
      </c>
      <c r="D1159" s="1100">
        <v>1.0255513981415147</v>
      </c>
      <c r="E1159" s="1100">
        <v>0.97449936729310493</v>
      </c>
      <c r="F1159" s="1100">
        <v>0.97730067677468357</v>
      </c>
      <c r="G1159" s="1100">
        <v>1.0020489482109591</v>
      </c>
      <c r="H1159" s="1100">
        <v>1.0038151440747165</v>
      </c>
      <c r="I1159" s="1100">
        <v>0.99659290922934685</v>
      </c>
      <c r="K1159">
        <v>1.118978723425299</v>
      </c>
      <c r="L1159">
        <v>0</v>
      </c>
      <c r="M1159">
        <v>8.1281092722906216E-4</v>
      </c>
      <c r="N1159">
        <v>6.9245710893794735E-2</v>
      </c>
      <c r="O1159">
        <v>9.9188468319156599E-3</v>
      </c>
      <c r="P1159">
        <v>1.2991936683442456E-2</v>
      </c>
      <c r="Q1159">
        <v>4.1973156647333727E-4</v>
      </c>
      <c r="R1159">
        <v>8.1101759246253588E-4</v>
      </c>
      <c r="S1159">
        <v>6.9574770505008751E-2</v>
      </c>
      <c r="T1159">
        <v>0.81050665540581712</v>
      </c>
      <c r="U1159">
        <v>0</v>
      </c>
      <c r="V1159">
        <v>9.1409627623353751E-2</v>
      </c>
      <c r="W1159">
        <v>4.6191532829528759E-2</v>
      </c>
      <c r="X1159">
        <v>6.5143818859241757E-3</v>
      </c>
      <c r="Y1159">
        <v>2.20732253480552E-3</v>
      </c>
    </row>
    <row r="1160" spans="1:25" x14ac:dyDescent="0.25">
      <c r="A1160" s="1096"/>
      <c r="B1160" s="1455">
        <v>910</v>
      </c>
      <c r="C1160" s="1100">
        <v>1.0012815914253317</v>
      </c>
      <c r="D1160" s="1100">
        <v>1.0050066446823465</v>
      </c>
      <c r="E1160" s="1100">
        <v>0.98801893312446321</v>
      </c>
      <c r="F1160" s="1100">
        <v>1.0009574732873974</v>
      </c>
      <c r="G1160" s="1100">
        <v>1.0021016126710709</v>
      </c>
      <c r="H1160" s="1100">
        <v>1.0040120511246065</v>
      </c>
      <c r="I1160" s="1100">
        <v>1.0055329973537086</v>
      </c>
      <c r="K1160">
        <v>1.1490144659199768</v>
      </c>
      <c r="L1160">
        <v>0</v>
      </c>
      <c r="M1160">
        <v>8.2149710539920003E-4</v>
      </c>
      <c r="N1160">
        <v>7.2907634510248912E-2</v>
      </c>
      <c r="O1160">
        <v>1.0311482534830727E-2</v>
      </c>
      <c r="P1160">
        <v>1.3437085912475716E-2</v>
      </c>
      <c r="Q1160">
        <v>4.4237966274124411E-4</v>
      </c>
      <c r="R1160">
        <v>8.196849614647444E-4</v>
      </c>
      <c r="S1160">
        <v>7.313705580272345E-2</v>
      </c>
      <c r="T1160">
        <v>0.82922186722560587</v>
      </c>
      <c r="U1160">
        <v>0</v>
      </c>
      <c r="V1160">
        <v>9.2152089603156212E-2</v>
      </c>
      <c r="W1160">
        <v>4.8239265482394281E-2</v>
      </c>
      <c r="X1160">
        <v>6.9365050737026229E-3</v>
      </c>
      <c r="Y1160">
        <v>2.2309122560321085E-3</v>
      </c>
    </row>
    <row r="1161" spans="1:25" x14ac:dyDescent="0.25">
      <c r="A1161" s="1096"/>
      <c r="B1161" s="1455">
        <v>911</v>
      </c>
      <c r="C1161" s="1100">
        <v>0.98254432975468997</v>
      </c>
      <c r="D1161" s="1100">
        <v>1.0042854245865496</v>
      </c>
      <c r="E1161" s="1100">
        <v>0.98355050958315693</v>
      </c>
      <c r="F1161" s="1100">
        <v>0.9676749088650145</v>
      </c>
      <c r="G1161" s="1100">
        <v>1.0041281874978534</v>
      </c>
      <c r="H1161" s="1100">
        <v>0.9599262775935955</v>
      </c>
      <c r="I1161" s="1100">
        <v>1.0230824234185711</v>
      </c>
      <c r="K1161">
        <v>1.1192820534496271</v>
      </c>
      <c r="L1161">
        <v>0</v>
      </c>
      <c r="M1161">
        <v>8.0807233902276078E-4</v>
      </c>
      <c r="N1161">
        <v>7.0746340447224915E-2</v>
      </c>
      <c r="O1161">
        <v>1.0509659287504813E-2</v>
      </c>
      <c r="P1161">
        <v>1.3043446514405954E-2</v>
      </c>
      <c r="Q1161">
        <v>4.4884519359773801E-4</v>
      </c>
      <c r="R1161">
        <v>8.0620794398575076E-4</v>
      </c>
      <c r="S1161">
        <v>7.3991178591057388E-2</v>
      </c>
      <c r="T1161">
        <v>0.80193789465617027</v>
      </c>
      <c r="U1161">
        <v>0</v>
      </c>
      <c r="V1161">
        <v>9.2710029128428906E-2</v>
      </c>
      <c r="W1161">
        <v>4.6935136818708915E-2</v>
      </c>
      <c r="X1161">
        <v>6.7671549504116054E-3</v>
      </c>
      <c r="Y1161">
        <v>2.1942322571519052E-3</v>
      </c>
    </row>
    <row r="1162" spans="1:25" x14ac:dyDescent="0.25">
      <c r="A1162" s="1096"/>
      <c r="B1162" s="1455">
        <v>912</v>
      </c>
      <c r="C1162" s="1100">
        <v>1.0061753166591847</v>
      </c>
      <c r="D1162" s="1100">
        <v>1.0045047904384397</v>
      </c>
      <c r="E1162" s="1100">
        <v>1.0325167352200877</v>
      </c>
      <c r="F1162" s="1100">
        <v>0.99031830736440096</v>
      </c>
      <c r="G1162" s="1100">
        <v>0.96505459467937094</v>
      </c>
      <c r="H1162" s="1100">
        <v>0.98455545777731812</v>
      </c>
      <c r="I1162" s="1100">
        <v>1.001890084651613</v>
      </c>
      <c r="K1162">
        <v>1.1358256364687567</v>
      </c>
      <c r="L1162">
        <v>0</v>
      </c>
      <c r="M1162">
        <v>7.3101711682704504E-4</v>
      </c>
      <c r="N1162">
        <v>7.4202243323522807E-2</v>
      </c>
      <c r="O1162">
        <v>1.0277852233267085E-2</v>
      </c>
      <c r="P1162">
        <v>1.3681016282435128E-2</v>
      </c>
      <c r="Q1162">
        <v>4.6099100672529676E-4</v>
      </c>
      <c r="R1162">
        <v>7.2937269610823838E-4</v>
      </c>
      <c r="S1162">
        <v>7.1801195227890052E-2</v>
      </c>
      <c r="T1162">
        <v>0.81750529741728628</v>
      </c>
      <c r="U1162">
        <v>0</v>
      </c>
      <c r="V1162">
        <v>9.0455453276198472E-2</v>
      </c>
      <c r="W1162">
        <v>4.7824540367504435E-2</v>
      </c>
      <c r="X1162">
        <v>7.6335797134835133E-3</v>
      </c>
      <c r="Y1162">
        <v>1.9851120411619716E-3</v>
      </c>
    </row>
    <row r="1163" spans="1:25" x14ac:dyDescent="0.25">
      <c r="A1163" s="1096"/>
      <c r="B1163" s="1455">
        <v>913</v>
      </c>
      <c r="C1163" s="1100">
        <v>1.0045087093908629</v>
      </c>
      <c r="D1163" s="1100">
        <v>0.9886315161673711</v>
      </c>
      <c r="E1163" s="1100">
        <v>1.006241855372396</v>
      </c>
      <c r="F1163" s="1100">
        <v>0.98648920561258335</v>
      </c>
      <c r="G1163" s="1100">
        <v>1.0114599414586212</v>
      </c>
      <c r="H1163" s="1100">
        <v>0.98380138783056026</v>
      </c>
      <c r="I1163" s="1100">
        <v>1.0305683250572846</v>
      </c>
      <c r="K1163">
        <v>1.1372825831300217</v>
      </c>
      <c r="L1163">
        <v>0</v>
      </c>
      <c r="M1163">
        <v>7.7771760751784878E-4</v>
      </c>
      <c r="N1163">
        <v>7.2926348067482327E-2</v>
      </c>
      <c r="O1163">
        <v>1.0352080117210932E-2</v>
      </c>
      <c r="P1163">
        <v>1.3464677943290076E-2</v>
      </c>
      <c r="Q1163">
        <v>4.523446626140045E-4</v>
      </c>
      <c r="R1163">
        <v>7.7596679324450589E-4</v>
      </c>
      <c r="S1163">
        <v>7.4524332971907664E-2</v>
      </c>
      <c r="T1163">
        <v>0.81604412529949255</v>
      </c>
      <c r="U1163">
        <v>0</v>
      </c>
      <c r="V1163">
        <v>9.2475272041169967E-2</v>
      </c>
      <c r="W1163">
        <v>4.7730689245552946E-2</v>
      </c>
      <c r="X1163">
        <v>7.20253778174847E-3</v>
      </c>
      <c r="Y1163">
        <v>2.1119258138268988E-3</v>
      </c>
    </row>
    <row r="1164" spans="1:25" x14ac:dyDescent="0.25">
      <c r="A1164" s="1096"/>
      <c r="B1164" s="1455">
        <v>914</v>
      </c>
      <c r="C1164" s="1100">
        <v>0.99159242247868007</v>
      </c>
      <c r="D1164" s="1100">
        <v>0.99387430989748315</v>
      </c>
      <c r="E1164" s="1100">
        <v>0.95978750693430037</v>
      </c>
      <c r="F1164" s="1100">
        <v>0.98341783274927042</v>
      </c>
      <c r="G1164" s="1100">
        <v>1.0116492408555287</v>
      </c>
      <c r="H1164" s="1100">
        <v>1.0107078475489502</v>
      </c>
      <c r="I1164" s="1100">
        <v>1.0021954879562061</v>
      </c>
      <c r="K1164">
        <v>1.1375637612172835</v>
      </c>
      <c r="L1164">
        <v>0</v>
      </c>
      <c r="M1164">
        <v>8.8915694791577777E-4</v>
      </c>
      <c r="N1164">
        <v>7.2449973292693801E-2</v>
      </c>
      <c r="O1164">
        <v>1.0449432482512648E-2</v>
      </c>
      <c r="P1164">
        <v>1.3006167216355516E-2</v>
      </c>
      <c r="Q1164">
        <v>4.3557442551008511E-4</v>
      </c>
      <c r="R1164">
        <v>8.8720854681363095E-4</v>
      </c>
      <c r="S1164">
        <v>7.4270715275727872E-2</v>
      </c>
      <c r="T1164">
        <v>0.81655302799850271</v>
      </c>
      <c r="U1164">
        <v>0</v>
      </c>
      <c r="V1164">
        <v>9.2798657632673573E-2</v>
      </c>
      <c r="W1164">
        <v>4.876467297072111E-2</v>
      </c>
      <c r="X1164">
        <v>6.4227991274801001E-3</v>
      </c>
      <c r="Y1164">
        <v>2.4146891962078484E-3</v>
      </c>
    </row>
    <row r="1165" spans="1:25" x14ac:dyDescent="0.25">
      <c r="A1165" s="1096"/>
      <c r="B1165" s="1455">
        <v>915</v>
      </c>
      <c r="C1165" s="1100">
        <v>0.9975805982403958</v>
      </c>
      <c r="D1165" s="1100">
        <v>0.99730577481657801</v>
      </c>
      <c r="E1165" s="1100">
        <v>1.0137408825668959</v>
      </c>
      <c r="F1165" s="1100">
        <v>0.97900834433433215</v>
      </c>
      <c r="G1165" s="1100">
        <v>1.0210112312304662</v>
      </c>
      <c r="H1165" s="1100">
        <v>1.0310349024368992</v>
      </c>
      <c r="I1165" s="1100">
        <v>0.98689468189524121</v>
      </c>
      <c r="K1165">
        <v>1.1372694097301863</v>
      </c>
      <c r="L1165">
        <v>0</v>
      </c>
      <c r="M1165">
        <v>8.0521164929151065E-4</v>
      </c>
      <c r="N1165">
        <v>7.7241324012259735E-2</v>
      </c>
      <c r="O1165">
        <v>1.0390080388812777E-2</v>
      </c>
      <c r="P1165">
        <v>1.3440961848628589E-2</v>
      </c>
      <c r="Q1165">
        <v>4.5742129835386203E-4</v>
      </c>
      <c r="R1165">
        <v>8.0348198324588259E-4</v>
      </c>
      <c r="S1165">
        <v>7.3451639490144272E-2</v>
      </c>
      <c r="T1165">
        <v>0.80937213026884225</v>
      </c>
      <c r="U1165">
        <v>0</v>
      </c>
      <c r="V1165">
        <v>9.3056027885569229E-2</v>
      </c>
      <c r="W1165">
        <v>5.0331802498100514E-2</v>
      </c>
      <c r="X1165">
        <v>7.3429386148888675E-3</v>
      </c>
      <c r="Y1165">
        <v>2.1868130906307001E-3</v>
      </c>
    </row>
    <row r="1166" spans="1:25" x14ac:dyDescent="0.25">
      <c r="A1166" s="1096"/>
      <c r="B1166" s="1455">
        <v>916</v>
      </c>
      <c r="C1166" s="1100">
        <v>1.0021754001232517</v>
      </c>
      <c r="D1166" s="1100">
        <v>1.0277371839619194</v>
      </c>
      <c r="E1166" s="1100">
        <v>0.97059879145577677</v>
      </c>
      <c r="F1166" s="1100">
        <v>1.0013849975949589</v>
      </c>
      <c r="G1166" s="1100">
        <v>1.0011995697832961</v>
      </c>
      <c r="H1166" s="1100">
        <v>0.97711267405731494</v>
      </c>
      <c r="I1166" s="1100">
        <v>1.0100856208239615</v>
      </c>
      <c r="K1166">
        <v>1.142304500120267</v>
      </c>
      <c r="L1166">
        <v>0</v>
      </c>
      <c r="M1166">
        <v>8.2069351397917243E-4</v>
      </c>
      <c r="N1166">
        <v>6.9092328136455911E-2</v>
      </c>
      <c r="O1166">
        <v>1.0204922939611193E-2</v>
      </c>
      <c r="P1166">
        <v>1.3257122142797031E-2</v>
      </c>
      <c r="Q1166">
        <v>4.3012158800735976E-4</v>
      </c>
      <c r="R1166">
        <v>8.1883330415980177E-4</v>
      </c>
      <c r="S1166">
        <v>7.1455069449313763E-2</v>
      </c>
      <c r="T1166">
        <v>0.83074261510827774</v>
      </c>
      <c r="U1166">
        <v>0</v>
      </c>
      <c r="V1166">
        <v>9.2089162130804592E-2</v>
      </c>
      <c r="W1166">
        <v>4.6198541252330624E-2</v>
      </c>
      <c r="X1166">
        <v>6.6078832568907536E-3</v>
      </c>
      <c r="Y1166">
        <v>2.228594325596809E-3</v>
      </c>
    </row>
    <row r="1167" spans="1:25" x14ac:dyDescent="0.25">
      <c r="A1167" s="1096"/>
      <c r="B1167" s="1455">
        <v>917</v>
      </c>
      <c r="C1167" s="1100">
        <v>0.95261565856526254</v>
      </c>
      <c r="D1167" s="1100">
        <v>1.0015344594174551</v>
      </c>
      <c r="E1167" s="1100">
        <v>1.0169334095191458</v>
      </c>
      <c r="F1167" s="1100">
        <v>0.98623010311331027</v>
      </c>
      <c r="G1167" s="1100">
        <v>0.99785375799513543</v>
      </c>
      <c r="H1167" s="1100">
        <v>0.98317940424786865</v>
      </c>
      <c r="I1167" s="1100">
        <v>0.99091057817720662</v>
      </c>
      <c r="K1167">
        <v>1.1454807696831988</v>
      </c>
      <c r="L1167">
        <v>0</v>
      </c>
      <c r="M1167">
        <v>7.9741042595608054E-4</v>
      </c>
      <c r="N1167">
        <v>7.7225415467340658E-2</v>
      </c>
      <c r="O1167">
        <v>1.0863207905609032E-2</v>
      </c>
      <c r="P1167">
        <v>1.3576713982983452E-2</v>
      </c>
      <c r="Q1167">
        <v>4.7977486090461477E-4</v>
      </c>
      <c r="R1167">
        <v>7.9561414314027214E-4</v>
      </c>
      <c r="S1167">
        <v>7.5044196682663183E-2</v>
      </c>
      <c r="T1167">
        <v>0.81513566418689698</v>
      </c>
      <c r="U1167">
        <v>0</v>
      </c>
      <c r="V1167">
        <v>9.3239646613325414E-2</v>
      </c>
      <c r="W1167">
        <v>5.0227188890603014E-2</v>
      </c>
      <c r="X1167">
        <v>7.5253579521919406E-3</v>
      </c>
      <c r="Y1167">
        <v>2.1653994234960227E-3</v>
      </c>
    </row>
    <row r="1168" spans="1:25" x14ac:dyDescent="0.25">
      <c r="A1168" s="1096"/>
      <c r="B1168" s="1455">
        <v>918</v>
      </c>
      <c r="C1168" s="1100">
        <v>1.0068435990997835</v>
      </c>
      <c r="D1168" s="1100">
        <v>1.0158791511977754</v>
      </c>
      <c r="E1168" s="1100">
        <v>0.98565124833056672</v>
      </c>
      <c r="F1168" s="1100">
        <v>0.99102405542702998</v>
      </c>
      <c r="G1168" s="1100">
        <v>1.0019113590805644</v>
      </c>
      <c r="H1168" s="1100">
        <v>0.96254179321241218</v>
      </c>
      <c r="I1168" s="1100">
        <v>0.98101709023459716</v>
      </c>
      <c r="K1168">
        <v>1.1297094779647918</v>
      </c>
      <c r="L1168">
        <v>0</v>
      </c>
      <c r="M1168">
        <v>7.8368265954142252E-4</v>
      </c>
      <c r="N1168">
        <v>6.9048810243397096E-2</v>
      </c>
      <c r="O1168">
        <v>1.0209714979160553E-2</v>
      </c>
      <c r="P1168">
        <v>1.3245492391966453E-2</v>
      </c>
      <c r="Q1168">
        <v>4.3696483734480431E-4</v>
      </c>
      <c r="R1168">
        <v>7.8187944990465994E-4</v>
      </c>
      <c r="S1168">
        <v>6.8933392257618326E-2</v>
      </c>
      <c r="T1168">
        <v>0.82114908414328902</v>
      </c>
      <c r="U1168">
        <v>0</v>
      </c>
      <c r="V1168">
        <v>9.2006930733935122E-2</v>
      </c>
      <c r="W1168">
        <v>4.5751087422018395E-2</v>
      </c>
      <c r="X1168">
        <v>6.80178604954853E-3</v>
      </c>
      <c r="Y1168">
        <v>2.128018116149094E-3</v>
      </c>
    </row>
    <row r="1169" spans="1:25" x14ac:dyDescent="0.25">
      <c r="A1169" s="1096"/>
      <c r="B1169" s="1455">
        <v>919</v>
      </c>
      <c r="C1169" s="1100">
        <v>1.023997679938017</v>
      </c>
      <c r="D1169" s="1100">
        <v>1.0184999257185687</v>
      </c>
      <c r="E1169" s="1100">
        <v>1.007911251404455</v>
      </c>
      <c r="F1169" s="1100">
        <v>0.99925423013788395</v>
      </c>
      <c r="G1169" s="1100">
        <v>0.99479593051864301</v>
      </c>
      <c r="H1169" s="1100">
        <v>0.96797850139840758</v>
      </c>
      <c r="I1169" s="1100">
        <v>1.0016246451840369</v>
      </c>
      <c r="K1169">
        <v>1.1355293797990502</v>
      </c>
      <c r="L1169">
        <v>0</v>
      </c>
      <c r="M1169">
        <v>7.3919460764637602E-4</v>
      </c>
      <c r="N1169">
        <v>6.966178177028258E-2</v>
      </c>
      <c r="O1169">
        <v>1.0035399982575726E-2</v>
      </c>
      <c r="P1169">
        <v>1.3537400175723054E-2</v>
      </c>
      <c r="Q1169">
        <v>4.3924057485958585E-4</v>
      </c>
      <c r="R1169">
        <v>7.3750331540673624E-4</v>
      </c>
      <c r="S1169">
        <v>6.9350178367073592E-2</v>
      </c>
      <c r="T1169">
        <v>0.82649355857033657</v>
      </c>
      <c r="U1169">
        <v>0</v>
      </c>
      <c r="V1169">
        <v>9.1293542923625251E-2</v>
      </c>
      <c r="W1169">
        <v>4.5549048716222361E-2</v>
      </c>
      <c r="X1169">
        <v>7.163679103953889E-3</v>
      </c>
      <c r="Y1169">
        <v>2.0072409066345517E-3</v>
      </c>
    </row>
    <row r="1170" spans="1:25" x14ac:dyDescent="0.25">
      <c r="A1170" s="1096"/>
      <c r="B1170" s="1455">
        <v>920</v>
      </c>
      <c r="C1170" s="1100">
        <v>0.99294050811284629</v>
      </c>
      <c r="D1170" s="1100">
        <v>1.0100732847434273</v>
      </c>
      <c r="E1170" s="1100">
        <v>0.9626051554209375</v>
      </c>
      <c r="F1170" s="1100">
        <v>0.99368227581654278</v>
      </c>
      <c r="G1170" s="1100">
        <v>1.0268586817619838</v>
      </c>
      <c r="H1170" s="1100">
        <v>0.96592791948978918</v>
      </c>
      <c r="I1170" s="1100">
        <v>0.96422657482993912</v>
      </c>
      <c r="K1170">
        <v>1.1351118833976648</v>
      </c>
      <c r="L1170">
        <v>0</v>
      </c>
      <c r="M1170">
        <v>8.3825523136913966E-4</v>
      </c>
      <c r="N1170">
        <v>6.8881001619884488E-2</v>
      </c>
      <c r="O1170">
        <v>1.0368898106328158E-2</v>
      </c>
      <c r="P1170">
        <v>1.3083405467188454E-2</v>
      </c>
      <c r="Q1170">
        <v>4.3347009836837582E-4</v>
      </c>
      <c r="R1170">
        <v>8.363332147830803E-4</v>
      </c>
      <c r="S1170">
        <v>6.9013154779982239E-2</v>
      </c>
      <c r="T1170">
        <v>0.82488694004987306</v>
      </c>
      <c r="U1170">
        <v>0</v>
      </c>
      <c r="V1170">
        <v>9.3415694012410344E-2</v>
      </c>
      <c r="W1170">
        <v>4.6282470381804344E-2</v>
      </c>
      <c r="X1170">
        <v>6.4725475849416484E-3</v>
      </c>
      <c r="Y1170">
        <v>2.2762233134693867E-3</v>
      </c>
    </row>
    <row r="1171" spans="1:25" x14ac:dyDescent="0.25">
      <c r="A1171" s="1096"/>
      <c r="B1171" s="1455">
        <v>921</v>
      </c>
      <c r="C1171" s="1100">
        <v>1.0074264319024</v>
      </c>
      <c r="D1171" s="1100">
        <v>0.99621926840904662</v>
      </c>
      <c r="E1171" s="1100">
        <v>1.0017530198902527</v>
      </c>
      <c r="F1171" s="1100">
        <v>0.99653709651149502</v>
      </c>
      <c r="G1171" s="1100">
        <v>1.0142940724693514</v>
      </c>
      <c r="H1171" s="1100">
        <v>1.0006403186147304</v>
      </c>
      <c r="I1171" s="1100">
        <v>1.0224864796145998</v>
      </c>
      <c r="K1171">
        <v>1.1464921517525177</v>
      </c>
      <c r="L1171">
        <v>0</v>
      </c>
      <c r="M1171">
        <v>7.9369013516768466E-4</v>
      </c>
      <c r="N1171">
        <v>7.342466046206296E-2</v>
      </c>
      <c r="O1171">
        <v>1.0289117136513374E-2</v>
      </c>
      <c r="P1171">
        <v>1.3532500761196423E-2</v>
      </c>
      <c r="Q1171">
        <v>4.4757385741103333E-4</v>
      </c>
      <c r="R1171">
        <v>7.9193343127966008E-4</v>
      </c>
      <c r="S1171">
        <v>7.4127333694073885E-2</v>
      </c>
      <c r="T1171">
        <v>0.82465152083723148</v>
      </c>
      <c r="U1171">
        <v>0</v>
      </c>
      <c r="V1171">
        <v>9.2524337280234098E-2</v>
      </c>
      <c r="W1171">
        <v>4.8184815463089517E-2</v>
      </c>
      <c r="X1171">
        <v>7.1566672254341698E-3</v>
      </c>
      <c r="Y1171">
        <v>2.1553817391577754E-3</v>
      </c>
    </row>
    <row r="1172" spans="1:25" x14ac:dyDescent="0.25">
      <c r="A1172" s="1096"/>
      <c r="B1172" s="1455">
        <v>922</v>
      </c>
      <c r="C1172" s="1100">
        <v>0.96982314518750412</v>
      </c>
      <c r="D1172" s="1100">
        <v>0.98846842245831712</v>
      </c>
      <c r="E1172" s="1100">
        <v>0.99108208000109144</v>
      </c>
      <c r="F1172" s="1100">
        <v>0.9876323867325596</v>
      </c>
      <c r="G1172" s="1100">
        <v>1.017576684980245</v>
      </c>
      <c r="H1172" s="1100">
        <v>0.99777669273944225</v>
      </c>
      <c r="I1172" s="1100">
        <v>0.99440836678268218</v>
      </c>
      <c r="K1172">
        <v>1.1459246357571544</v>
      </c>
      <c r="L1172">
        <v>0</v>
      </c>
      <c r="M1172">
        <v>8.4312437785115401E-4</v>
      </c>
      <c r="N1172">
        <v>7.552223781809507E-2</v>
      </c>
      <c r="O1172">
        <v>1.0717889290052365E-2</v>
      </c>
      <c r="P1172">
        <v>1.3361814929503243E-2</v>
      </c>
      <c r="Q1172">
        <v>4.61241392172931E-4</v>
      </c>
      <c r="R1172">
        <v>8.4125290354282651E-4</v>
      </c>
      <c r="S1172">
        <v>7.5055024452898939E-2</v>
      </c>
      <c r="T1172">
        <v>0.81798167317680803</v>
      </c>
      <c r="U1172">
        <v>0</v>
      </c>
      <c r="V1172">
        <v>9.3616960797753807E-2</v>
      </c>
      <c r="W1172">
        <v>4.9877572641593204E-2</v>
      </c>
      <c r="X1172">
        <v>7.0424796480857473E-3</v>
      </c>
      <c r="Y1172">
        <v>2.2896130844984523E-3</v>
      </c>
    </row>
    <row r="1173" spans="1:25" x14ac:dyDescent="0.25">
      <c r="A1173" s="1096"/>
      <c r="B1173" s="1455">
        <v>923</v>
      </c>
      <c r="C1173" s="1100">
        <v>0.96538853563741545</v>
      </c>
      <c r="D1173" s="1100">
        <v>1.0252974150295908</v>
      </c>
      <c r="E1173" s="1100">
        <v>0.99723260094339927</v>
      </c>
      <c r="F1173" s="1100">
        <v>0.99456044301577284</v>
      </c>
      <c r="G1173" s="1100">
        <v>1.0018301346956484</v>
      </c>
      <c r="H1173" s="1100">
        <v>0.99991482941854559</v>
      </c>
      <c r="I1173" s="1100">
        <v>1.0253276461127394</v>
      </c>
      <c r="K1173">
        <v>1.1517111197191272</v>
      </c>
      <c r="L1173">
        <v>0</v>
      </c>
      <c r="M1173">
        <v>8.2588802795997471E-4</v>
      </c>
      <c r="N1173">
        <v>7.5366784417920316E-2</v>
      </c>
      <c r="O1173">
        <v>1.0612782472704588E-2</v>
      </c>
      <c r="P1173">
        <v>1.3506906339514478E-2</v>
      </c>
      <c r="Q1173">
        <v>4.5955971059105421E-4</v>
      </c>
      <c r="R1173">
        <v>8.2405873299412581E-4</v>
      </c>
      <c r="S1173">
        <v>7.6397052152964273E-2</v>
      </c>
      <c r="T1173">
        <v>0.82331352535631375</v>
      </c>
      <c r="U1173">
        <v>0</v>
      </c>
      <c r="V1173">
        <v>9.3061992230450252E-2</v>
      </c>
      <c r="W1173">
        <v>4.9592445170851027E-2</v>
      </c>
      <c r="X1173">
        <v>7.1590849424615953E-3</v>
      </c>
      <c r="Y1173">
        <v>2.242816220321687E-3</v>
      </c>
    </row>
    <row r="1174" spans="1:25" x14ac:dyDescent="0.25">
      <c r="A1174" s="1096"/>
      <c r="B1174" s="1455">
        <v>924</v>
      </c>
      <c r="C1174" s="1100">
        <v>0.98649093420946876</v>
      </c>
      <c r="D1174" s="1100">
        <v>0.99770631844634372</v>
      </c>
      <c r="E1174" s="1100">
        <v>1.0231017757025596</v>
      </c>
      <c r="F1174" s="1100">
        <v>1.0195287288629054</v>
      </c>
      <c r="G1174" s="1100">
        <v>1.0344507914370979</v>
      </c>
      <c r="H1174" s="1100">
        <v>1.0262941084093034</v>
      </c>
      <c r="I1174" s="1100">
        <v>0.97835167408772572</v>
      </c>
      <c r="K1174">
        <v>1.1736780405570457</v>
      </c>
      <c r="L1174">
        <v>0</v>
      </c>
      <c r="M1174">
        <v>7.9476180125307219E-4</v>
      </c>
      <c r="N1174">
        <v>7.8422039506883548E-2</v>
      </c>
      <c r="O1174">
        <v>1.0508310685664737E-2</v>
      </c>
      <c r="P1174">
        <v>1.400121712606738E-2</v>
      </c>
      <c r="Q1174">
        <v>4.6695548083740257E-4</v>
      </c>
      <c r="R1174">
        <v>7.9304669619594903E-4</v>
      </c>
      <c r="S1174">
        <v>7.3438861841621683E-2</v>
      </c>
      <c r="T1174">
        <v>0.84224526409670164</v>
      </c>
      <c r="U1174">
        <v>0</v>
      </c>
      <c r="V1174">
        <v>9.3911210772743586E-2</v>
      </c>
      <c r="W1174">
        <v>5.0821734146516521E-2</v>
      </c>
      <c r="X1174">
        <v>7.7057503257926862E-3</v>
      </c>
      <c r="Y1174">
        <v>2.1584116792722329E-3</v>
      </c>
    </row>
    <row r="1175" spans="1:25" x14ac:dyDescent="0.25">
      <c r="A1175" s="1096"/>
      <c r="B1175" s="1455">
        <v>925</v>
      </c>
      <c r="C1175" s="1100">
        <v>0.97518801156911994</v>
      </c>
      <c r="D1175" s="1100">
        <v>0.95288915280331821</v>
      </c>
      <c r="E1175" s="1100">
        <v>1.0229857043127575</v>
      </c>
      <c r="F1175" s="1100">
        <v>0.97961815902177041</v>
      </c>
      <c r="G1175" s="1100">
        <v>0.99891836052263605</v>
      </c>
      <c r="H1175" s="1100">
        <v>1.0027264562474758</v>
      </c>
      <c r="I1175" s="1100">
        <v>1.0006595212314915</v>
      </c>
      <c r="K1175">
        <v>1.1435235000272936</v>
      </c>
      <c r="L1175">
        <v>0</v>
      </c>
      <c r="M1175">
        <v>8.0027902866834633E-4</v>
      </c>
      <c r="N1175">
        <v>7.8934791842971017E-2</v>
      </c>
      <c r="O1175">
        <v>1.0827300403827143E-2</v>
      </c>
      <c r="P1175">
        <v>1.3572506970193438E-2</v>
      </c>
      <c r="Q1175">
        <v>4.810749341368111E-4</v>
      </c>
      <c r="R1175">
        <v>7.9851142643923192E-4</v>
      </c>
      <c r="S1175">
        <v>7.6790981834284261E-2</v>
      </c>
      <c r="T1175">
        <v>0.80928209278846841</v>
      </c>
      <c r="U1175">
        <v>0</v>
      </c>
      <c r="V1175">
        <v>9.2683875943515695E-2</v>
      </c>
      <c r="W1175">
        <v>5.115749104501318E-2</v>
      </c>
      <c r="X1175">
        <v>7.6218669935646287E-3</v>
      </c>
      <c r="Y1175">
        <v>2.173284873546608E-3</v>
      </c>
    </row>
    <row r="1176" spans="1:25" x14ac:dyDescent="0.25">
      <c r="A1176" s="1096"/>
      <c r="B1176" s="1455">
        <v>926</v>
      </c>
      <c r="C1176" s="1100">
        <v>0.99740533056380598</v>
      </c>
      <c r="D1176" s="1100">
        <v>1.0281904885766364</v>
      </c>
      <c r="E1176" s="1100">
        <v>1.0388777597903756</v>
      </c>
      <c r="F1176" s="1100">
        <v>0.99966453190021332</v>
      </c>
      <c r="G1176" s="1100">
        <v>0.99256312805489189</v>
      </c>
      <c r="H1176" s="1100">
        <v>1.0321734388732982</v>
      </c>
      <c r="I1176" s="1100">
        <v>1.0058217452996425</v>
      </c>
      <c r="K1176">
        <v>1.1534188428750625</v>
      </c>
      <c r="L1176">
        <v>0</v>
      </c>
      <c r="M1176">
        <v>7.5584365275600698E-4</v>
      </c>
      <c r="N1176">
        <v>7.8215186529690284E-2</v>
      </c>
      <c r="O1176">
        <v>1.0274091996036069E-2</v>
      </c>
      <c r="P1176">
        <v>1.3894049674068749E-2</v>
      </c>
      <c r="Q1176">
        <v>4.6372054810967151E-4</v>
      </c>
      <c r="R1176">
        <v>7.5422182447519581E-4</v>
      </c>
      <c r="S1176">
        <v>7.3791703961733235E-2</v>
      </c>
      <c r="T1176">
        <v>0.82480695110646784</v>
      </c>
      <c r="U1176">
        <v>0</v>
      </c>
      <c r="V1176">
        <v>9.1848816582563081E-2</v>
      </c>
      <c r="W1176">
        <v>5.0225978179887082E-2</v>
      </c>
      <c r="X1176">
        <v>7.8472229477238378E-3</v>
      </c>
      <c r="Y1176">
        <v>2.0527431770638654E-3</v>
      </c>
    </row>
    <row r="1177" spans="1:25" x14ac:dyDescent="0.25">
      <c r="A1177" s="1096"/>
      <c r="B1177" s="1455">
        <v>927</v>
      </c>
      <c r="C1177" s="1100">
        <v>1.010153124846898</v>
      </c>
      <c r="D1177" s="1100">
        <v>0.99185657037131569</v>
      </c>
      <c r="E1177" s="1100">
        <v>0.9866139481290741</v>
      </c>
      <c r="F1177" s="1100">
        <v>0.98153109557314144</v>
      </c>
      <c r="G1177" s="1100">
        <v>1.0242031995132401</v>
      </c>
      <c r="H1177" s="1100">
        <v>0.97853713348946125</v>
      </c>
      <c r="I1177" s="1100">
        <v>1.034933683198594</v>
      </c>
      <c r="K1177">
        <v>1.130626044021781</v>
      </c>
      <c r="L1177">
        <v>0</v>
      </c>
      <c r="M1177">
        <v>8.0013754452368984E-4</v>
      </c>
      <c r="N1177">
        <v>7.0706839792770704E-2</v>
      </c>
      <c r="O1177">
        <v>1.0274457218693345E-2</v>
      </c>
      <c r="P1177">
        <v>1.3229109510955189E-2</v>
      </c>
      <c r="Q1177">
        <v>4.401647555455886E-4</v>
      </c>
      <c r="R1177">
        <v>7.9832656760112758E-4</v>
      </c>
      <c r="S1177">
        <v>7.4053600092832586E-2</v>
      </c>
      <c r="T1177">
        <v>0.81322036403694908</v>
      </c>
      <c r="U1177">
        <v>0</v>
      </c>
      <c r="V1177">
        <v>9.2879676866025246E-2</v>
      </c>
      <c r="W1177">
        <v>4.6822588158946313E-2</v>
      </c>
      <c r="X1177">
        <v>6.8282728172567751E-3</v>
      </c>
      <c r="Y1177">
        <v>2.1727817487279875E-3</v>
      </c>
    </row>
    <row r="1178" spans="1:25" x14ac:dyDescent="0.25">
      <c r="A1178" s="1096"/>
      <c r="B1178" s="1455">
        <v>928</v>
      </c>
      <c r="C1178" s="1100">
        <v>1.0172933908426405</v>
      </c>
      <c r="D1178" s="1100">
        <v>0.96618442798972459</v>
      </c>
      <c r="E1178" s="1100">
        <v>0.99040519320465592</v>
      </c>
      <c r="F1178" s="1100">
        <v>0.96415291031539296</v>
      </c>
      <c r="G1178" s="1100">
        <v>1.0088994336696118</v>
      </c>
      <c r="H1178" s="1100">
        <v>1.0402649520532403</v>
      </c>
      <c r="I1178" s="1100">
        <v>0.99435790132934765</v>
      </c>
      <c r="K1178">
        <v>1.1234322295717529</v>
      </c>
      <c r="L1178">
        <v>0</v>
      </c>
      <c r="M1178">
        <v>8.468735819212545E-4</v>
      </c>
      <c r="N1178">
        <v>7.5709870360710765E-2</v>
      </c>
      <c r="O1178">
        <v>1.0311157218438066E-2</v>
      </c>
      <c r="P1178">
        <v>1.3058367113807258E-2</v>
      </c>
      <c r="Q1178">
        <v>4.4343442552416623E-4</v>
      </c>
      <c r="R1178">
        <v>8.4507056336477146E-4</v>
      </c>
      <c r="S1178">
        <v>7.4104696109288243E-2</v>
      </c>
      <c r="T1178">
        <v>0.79857878993532594</v>
      </c>
      <c r="U1178">
        <v>0</v>
      </c>
      <c r="V1178">
        <v>9.2053578742831391E-2</v>
      </c>
      <c r="W1178">
        <v>5.0021759455082949E-2</v>
      </c>
      <c r="X1178">
        <v>6.8523757332591261E-3</v>
      </c>
      <c r="Y1178">
        <v>2.3000034960425648E-3</v>
      </c>
    </row>
    <row r="1179" spans="1:25" x14ac:dyDescent="0.25">
      <c r="A1179" s="1096"/>
      <c r="B1179" s="1455">
        <v>929</v>
      </c>
      <c r="C1179" s="1100">
        <v>0.97194490984184034</v>
      </c>
      <c r="D1179" s="1100">
        <v>1.0244640510061949</v>
      </c>
      <c r="E1179" s="1100">
        <v>1.0071498062297497</v>
      </c>
      <c r="F1179" s="1100">
        <v>0.99672276338576282</v>
      </c>
      <c r="G1179" s="1100">
        <v>1.0107869914020522</v>
      </c>
      <c r="H1179" s="1100">
        <v>0.99441263539325353</v>
      </c>
      <c r="I1179" s="1100">
        <v>0.99605209702544772</v>
      </c>
      <c r="K1179">
        <v>1.1496757268820399</v>
      </c>
      <c r="L1179">
        <v>0</v>
      </c>
      <c r="M1179">
        <v>7.9944667350184575E-4</v>
      </c>
      <c r="N1179">
        <v>7.5171501418837938E-2</v>
      </c>
      <c r="O1179">
        <v>1.0547930345690548E-2</v>
      </c>
      <c r="P1179">
        <v>1.3586258370214535E-2</v>
      </c>
      <c r="Q1179">
        <v>4.6132181766858729E-4</v>
      </c>
      <c r="R1179">
        <v>7.9766614699408719E-4</v>
      </c>
      <c r="S1179">
        <v>7.3530417629231778E-2</v>
      </c>
      <c r="T1179">
        <v>0.82444981703872933</v>
      </c>
      <c r="U1179">
        <v>0</v>
      </c>
      <c r="V1179">
        <v>9.3273324747774833E-2</v>
      </c>
      <c r="W1179">
        <v>4.9173751043801506E-2</v>
      </c>
      <c r="X1179">
        <v>7.3122006950553766E-3</v>
      </c>
      <c r="Y1179">
        <v>2.1709843015432183E-3</v>
      </c>
    </row>
    <row r="1180" spans="1:25" x14ac:dyDescent="0.25">
      <c r="A1180" s="1096"/>
      <c r="B1180" s="1455">
        <v>930</v>
      </c>
      <c r="C1180" s="1100">
        <v>0.98995592040967206</v>
      </c>
      <c r="D1180" s="1100">
        <v>0.99941277945365914</v>
      </c>
      <c r="E1180" s="1100">
        <v>0.98098705941084352</v>
      </c>
      <c r="F1180" s="1100">
        <v>1.0079822391405751</v>
      </c>
      <c r="G1180" s="1100">
        <v>1.0071108580387087</v>
      </c>
      <c r="H1180" s="1100">
        <v>1.0335435146464187</v>
      </c>
      <c r="I1180" s="1100">
        <v>0.98013198907738486</v>
      </c>
      <c r="K1180">
        <v>1.1610497775181965</v>
      </c>
      <c r="L1180">
        <v>0</v>
      </c>
      <c r="M1180">
        <v>8.6981162868949213E-4</v>
      </c>
      <c r="N1180">
        <v>7.5575772816628001E-2</v>
      </c>
      <c r="O1180">
        <v>1.0450443215602139E-2</v>
      </c>
      <c r="P1180">
        <v>1.3461731803127252E-2</v>
      </c>
      <c r="Q1180">
        <v>4.4515630709194453E-4</v>
      </c>
      <c r="R1180">
        <v>8.6794773120915257E-4</v>
      </c>
      <c r="S1180">
        <v>7.3493139125142132E-2</v>
      </c>
      <c r="T1180">
        <v>0.83551419992593456</v>
      </c>
      <c r="U1180">
        <v>0</v>
      </c>
      <c r="V1180">
        <v>9.2648444476488498E-2</v>
      </c>
      <c r="W1180">
        <v>5.0216649156166013E-2</v>
      </c>
      <c r="X1180">
        <v>6.8838369840361771E-3</v>
      </c>
      <c r="Y1180">
        <v>2.3622676054586159E-3</v>
      </c>
    </row>
    <row r="1181" spans="1:25" x14ac:dyDescent="0.25">
      <c r="A1181" s="1096"/>
      <c r="B1181" s="1455">
        <v>931</v>
      </c>
      <c r="C1181" s="1100">
        <v>0.98891173384309883</v>
      </c>
      <c r="D1181" s="1100">
        <v>0.99514629131688237</v>
      </c>
      <c r="E1181" s="1100">
        <v>0.98933806940084357</v>
      </c>
      <c r="F1181" s="1100">
        <v>0.98705476822726268</v>
      </c>
      <c r="G1181" s="1100">
        <v>1.0202851508082547</v>
      </c>
      <c r="H1181" s="1100">
        <v>0.98891378698757271</v>
      </c>
      <c r="I1181" s="1100">
        <v>1.0331726095141587</v>
      </c>
      <c r="K1181">
        <v>1.1415528593347923</v>
      </c>
      <c r="L1181">
        <v>0</v>
      </c>
      <c r="M1181">
        <v>8.202586014939429E-4</v>
      </c>
      <c r="N1181">
        <v>7.3086199645448366E-2</v>
      </c>
      <c r="O1181">
        <v>1.0482158102098054E-2</v>
      </c>
      <c r="P1181">
        <v>1.3344754926052201E-2</v>
      </c>
      <c r="Q1181">
        <v>4.503023718974367E-4</v>
      </c>
      <c r="R1181">
        <v>8.1842156434220454E-4</v>
      </c>
      <c r="S1181">
        <v>7.5832025925707883E-2</v>
      </c>
      <c r="T1181">
        <v>0.81761778796081241</v>
      </c>
      <c r="U1181">
        <v>0</v>
      </c>
      <c r="V1181">
        <v>9.3239351730433032E-2</v>
      </c>
      <c r="W1181">
        <v>4.831917397897658E-2</v>
      </c>
      <c r="X1181">
        <v>6.9554680249757327E-3</v>
      </c>
      <c r="Y1181">
        <v>2.2274737055433045E-3</v>
      </c>
    </row>
    <row r="1182" spans="1:25" x14ac:dyDescent="0.25">
      <c r="A1182" s="1096"/>
      <c r="B1182" s="1455">
        <v>932</v>
      </c>
      <c r="C1182" s="1100">
        <v>0.98466192010507447</v>
      </c>
      <c r="D1182" s="1100">
        <v>1.0108215000549445</v>
      </c>
      <c r="E1182" s="1100">
        <v>1.0061398552531784</v>
      </c>
      <c r="F1182" s="1100">
        <v>0.99526068168961712</v>
      </c>
      <c r="G1182" s="1100">
        <v>1.0068589090799198</v>
      </c>
      <c r="H1182" s="1100">
        <v>1.0002102483249191</v>
      </c>
      <c r="I1182" s="1100">
        <v>1.0127591492404229</v>
      </c>
      <c r="K1182">
        <v>1.1485989364568348</v>
      </c>
      <c r="L1182">
        <v>0</v>
      </c>
      <c r="M1182">
        <v>7.9966544982583486E-4</v>
      </c>
      <c r="N1182">
        <v>7.4964071971405477E-2</v>
      </c>
      <c r="O1182">
        <v>1.0467350778808256E-2</v>
      </c>
      <c r="P1182">
        <v>1.3567555711168086E-2</v>
      </c>
      <c r="Q1182">
        <v>4.5733479939671532E-4</v>
      </c>
      <c r="R1182">
        <v>7.9789475951770692E-4</v>
      </c>
      <c r="S1182">
        <v>7.4548058841639953E-2</v>
      </c>
      <c r="T1182">
        <v>0.82330677093401217</v>
      </c>
      <c r="U1182">
        <v>0</v>
      </c>
      <c r="V1182">
        <v>9.2775896074609218E-2</v>
      </c>
      <c r="W1182">
        <v>4.9067350602419291E-2</v>
      </c>
      <c r="X1182">
        <v>7.2747109242121515E-3</v>
      </c>
      <c r="Y1182">
        <v>2.1716065094704133E-3</v>
      </c>
    </row>
    <row r="1183" spans="1:25" x14ac:dyDescent="0.25">
      <c r="A1183" s="1096"/>
      <c r="B1183" s="1455">
        <v>933</v>
      </c>
      <c r="C1183" s="1100">
        <v>0.98608114814464654</v>
      </c>
      <c r="D1183" s="1100">
        <v>0.96299708718336763</v>
      </c>
      <c r="E1183" s="1100">
        <v>0.97828881059565287</v>
      </c>
      <c r="F1183" s="1100">
        <v>0.9993671706252194</v>
      </c>
      <c r="G1183" s="1100">
        <v>1.0085978998147198</v>
      </c>
      <c r="H1183" s="1100">
        <v>0.9993383159410637</v>
      </c>
      <c r="I1183" s="1100">
        <v>1.0166862986307894</v>
      </c>
      <c r="K1183">
        <v>1.1552636400016958</v>
      </c>
      <c r="L1183">
        <v>0</v>
      </c>
      <c r="M1183">
        <v>8.617536187122128E-4</v>
      </c>
      <c r="N1183">
        <v>7.4261362345635226E-2</v>
      </c>
      <c r="O1183">
        <v>1.0647531135919965E-2</v>
      </c>
      <c r="P1183">
        <v>1.3383889686286855E-2</v>
      </c>
      <c r="Q1183">
        <v>4.5230922929099642E-4</v>
      </c>
      <c r="R1183">
        <v>8.5984378236442216E-4</v>
      </c>
      <c r="S1183">
        <v>7.6541862553950402E-2</v>
      </c>
      <c r="T1183">
        <v>0.82855349001985557</v>
      </c>
      <c r="U1183">
        <v>0</v>
      </c>
      <c r="V1183">
        <v>9.281002133188801E-2</v>
      </c>
      <c r="W1183">
        <v>4.9423765410226396E-2</v>
      </c>
      <c r="X1183">
        <v>6.8511067968198705E-3</v>
      </c>
      <c r="Y1183">
        <v>2.3402113281692787E-3</v>
      </c>
    </row>
    <row r="1184" spans="1:25" x14ac:dyDescent="0.25">
      <c r="A1184" s="1096"/>
      <c r="B1184" s="1455">
        <v>934</v>
      </c>
      <c r="C1184" s="1100">
        <v>0.98426490523493493</v>
      </c>
      <c r="D1184" s="1100">
        <v>0.98144692525874944</v>
      </c>
      <c r="E1184" s="1100">
        <v>0.9954456947124477</v>
      </c>
      <c r="F1184" s="1100">
        <v>0.97465977069310739</v>
      </c>
      <c r="G1184" s="1100">
        <v>1.0045182904557</v>
      </c>
      <c r="H1184" s="1100">
        <v>1.0170137577586258</v>
      </c>
      <c r="I1184" s="1100">
        <v>0.95235114405147336</v>
      </c>
      <c r="K1184">
        <v>1.1317568352251837</v>
      </c>
      <c r="L1184">
        <v>0</v>
      </c>
      <c r="M1184">
        <v>8.4154468001206137E-4</v>
      </c>
      <c r="N1184">
        <v>7.6384805601653588E-2</v>
      </c>
      <c r="O1184">
        <v>1.0592246660341254E-2</v>
      </c>
      <c r="P1184">
        <v>1.3199683641672833E-2</v>
      </c>
      <c r="Q1184">
        <v>4.5784568380888605E-4</v>
      </c>
      <c r="R1184">
        <v>8.3971204521345315E-4</v>
      </c>
      <c r="S1184">
        <v>7.1853817534115128E-2</v>
      </c>
      <c r="T1184">
        <v>0.80695493121621542</v>
      </c>
      <c r="U1184">
        <v>0</v>
      </c>
      <c r="V1184">
        <v>9.2684348566754074E-2</v>
      </c>
      <c r="W1184">
        <v>5.0315881620108249E-2</v>
      </c>
      <c r="X1184">
        <v>7.0296879592408488E-3</v>
      </c>
      <c r="Y1184">
        <v>2.2854193760697096E-3</v>
      </c>
    </row>
    <row r="1185" spans="1:25" x14ac:dyDescent="0.25">
      <c r="A1185" s="1096"/>
      <c r="B1185" s="1455">
        <v>935</v>
      </c>
      <c r="C1185" s="1100">
        <v>1.0075888919039402</v>
      </c>
      <c r="D1185" s="1100">
        <v>1.0148927249973789</v>
      </c>
      <c r="E1185" s="1100">
        <v>0.99600586666850799</v>
      </c>
      <c r="F1185" s="1100">
        <v>1.0183201894318177</v>
      </c>
      <c r="G1185" s="1100">
        <v>1.0007640936815441</v>
      </c>
      <c r="H1185" s="1100">
        <v>1.007163764851382</v>
      </c>
      <c r="I1185" s="1100">
        <v>0.98007884354784902</v>
      </c>
      <c r="K1185">
        <v>1.1602111262776125</v>
      </c>
      <c r="L1185">
        <v>0</v>
      </c>
      <c r="M1185">
        <v>8.0233076210690197E-4</v>
      </c>
      <c r="N1185">
        <v>7.2947296924616267E-2</v>
      </c>
      <c r="O1185">
        <v>1.0209467154405124E-2</v>
      </c>
      <c r="P1185">
        <v>1.3669042231295479E-2</v>
      </c>
      <c r="Q1185">
        <v>4.4154933412518413E-4</v>
      </c>
      <c r="R1185">
        <v>8.0056643572128463E-4</v>
      </c>
      <c r="S1185">
        <v>7.0617759236058342E-2</v>
      </c>
      <c r="T1185">
        <v>0.84306507530585051</v>
      </c>
      <c r="U1185">
        <v>0</v>
      </c>
      <c r="V1185">
        <v>9.1941102489807455E-2</v>
      </c>
      <c r="W1185">
        <v>4.8035490710585452E-2</v>
      </c>
      <c r="X1185">
        <v>7.1072292858737757E-3</v>
      </c>
      <c r="Y1185">
        <v>2.1788779313787277E-3</v>
      </c>
    </row>
    <row r="1186" spans="1:25" x14ac:dyDescent="0.25">
      <c r="A1186" s="1096"/>
      <c r="B1186" s="1455">
        <v>936</v>
      </c>
      <c r="C1186" s="1100">
        <v>1.005918505674922</v>
      </c>
      <c r="D1186" s="1100">
        <v>1.0083414265403003</v>
      </c>
      <c r="E1186" s="1100">
        <v>0.95696872825028356</v>
      </c>
      <c r="F1186" s="1100">
        <v>0.98739461873230572</v>
      </c>
      <c r="G1186" s="1100">
        <v>0.96763267531433694</v>
      </c>
      <c r="H1186" s="1100">
        <v>1.041169070978343</v>
      </c>
      <c r="I1186" s="1100">
        <v>0.98480057579285285</v>
      </c>
      <c r="K1186">
        <v>1.1377797146083237</v>
      </c>
      <c r="L1186">
        <v>0</v>
      </c>
      <c r="M1186">
        <v>9.0293496821617443E-4</v>
      </c>
      <c r="N1186">
        <v>7.2951516679055611E-2</v>
      </c>
      <c r="O1186">
        <v>1.0240334614984692E-2</v>
      </c>
      <c r="P1186">
        <v>1.2972382193845238E-2</v>
      </c>
      <c r="Q1186">
        <v>4.256223832071301E-4</v>
      </c>
      <c r="R1186">
        <v>9.0101426266385779E-4</v>
      </c>
      <c r="S1186">
        <v>7.2616395155112173E-2</v>
      </c>
      <c r="T1186">
        <v>0.82004304864649791</v>
      </c>
      <c r="U1186">
        <v>0</v>
      </c>
      <c r="V1186">
        <v>9.0559541460061788E-2</v>
      </c>
      <c r="W1186">
        <v>4.9187347736611417E-2</v>
      </c>
      <c r="X1186">
        <v>6.3331826407999727E-3</v>
      </c>
      <c r="Y1186">
        <v>2.4522638036991594E-3</v>
      </c>
    </row>
    <row r="1187" spans="1:25" x14ac:dyDescent="0.25">
      <c r="A1187" s="1096"/>
      <c r="B1187" s="1455">
        <v>937</v>
      </c>
      <c r="C1187" s="1100">
        <v>0.98845366430235448</v>
      </c>
      <c r="D1187" s="1100">
        <v>1.0253878331078199</v>
      </c>
      <c r="E1187" s="1100">
        <v>1.0301633873260987</v>
      </c>
      <c r="F1187" s="1100">
        <v>0.96160427149967365</v>
      </c>
      <c r="G1187" s="1100">
        <v>0.98745254224743872</v>
      </c>
      <c r="H1187" s="1100">
        <v>0.97614550950267898</v>
      </c>
      <c r="I1187" s="1100">
        <v>1.0159847143310907</v>
      </c>
      <c r="K1187">
        <v>1.1144393468445035</v>
      </c>
      <c r="L1187">
        <v>0</v>
      </c>
      <c r="M1187">
        <v>7.3531758110978213E-4</v>
      </c>
      <c r="N1187">
        <v>7.410973725963696E-2</v>
      </c>
      <c r="O1187">
        <v>1.0375590212903484E-2</v>
      </c>
      <c r="P1187">
        <v>1.3365383707521094E-2</v>
      </c>
      <c r="Q1187">
        <v>4.6429407959434768E-4</v>
      </c>
      <c r="R1187">
        <v>7.3364923571452576E-4</v>
      </c>
      <c r="S1187">
        <v>7.2985949328094227E-2</v>
      </c>
      <c r="T1187">
        <v>0.79394945431397912</v>
      </c>
      <c r="U1187">
        <v>0</v>
      </c>
      <c r="V1187">
        <v>9.1853965519063469E-2</v>
      </c>
      <c r="W1187">
        <v>4.7830144462143245E-2</v>
      </c>
      <c r="X1187">
        <v>7.5097449347534904E-3</v>
      </c>
      <c r="Y1187">
        <v>1.9967513722093833E-3</v>
      </c>
    </row>
    <row r="1188" spans="1:25" x14ac:dyDescent="0.25">
      <c r="A1188" s="1096"/>
      <c r="B1188" s="1455">
        <v>938</v>
      </c>
      <c r="C1188" s="1100">
        <v>1.004294068178504</v>
      </c>
      <c r="D1188" s="1100">
        <v>1.0144890227429917</v>
      </c>
      <c r="E1188" s="1100">
        <v>0.96114852108424087</v>
      </c>
      <c r="F1188" s="1100">
        <v>0.96819200347779732</v>
      </c>
      <c r="G1188" s="1100">
        <v>0.98436354611432608</v>
      </c>
      <c r="H1188" s="1100">
        <v>1.0335239967729586</v>
      </c>
      <c r="I1188" s="1100">
        <v>1.0296532845486412</v>
      </c>
      <c r="K1188">
        <v>1.1244092133948123</v>
      </c>
      <c r="L1188">
        <v>0</v>
      </c>
      <c r="M1188">
        <v>8.8789361107094499E-4</v>
      </c>
      <c r="N1188">
        <v>7.2649523830644769E-2</v>
      </c>
      <c r="O1188">
        <v>1.0233336278424853E-2</v>
      </c>
      <c r="P1188">
        <v>1.2848025337049485E-2</v>
      </c>
      <c r="Q1188">
        <v>4.2716363081067609E-4</v>
      </c>
      <c r="R1188">
        <v>8.8599093023393786E-4</v>
      </c>
      <c r="S1188">
        <v>7.5499140038000873E-2</v>
      </c>
      <c r="T1188">
        <v>0.80382176979061581</v>
      </c>
      <c r="U1188">
        <v>0</v>
      </c>
      <c r="V1188">
        <v>9.1315662819935473E-2</v>
      </c>
      <c r="W1188">
        <v>4.8858189619929597E-2</v>
      </c>
      <c r="X1188">
        <v>6.346929484971852E-3</v>
      </c>
      <c r="Y1188">
        <v>2.4113752452651223E-3</v>
      </c>
    </row>
    <row r="1189" spans="1:25" x14ac:dyDescent="0.25">
      <c r="A1189" s="1096"/>
      <c r="B1189" s="1455">
        <v>939</v>
      </c>
      <c r="C1189" s="1100">
        <v>0.9968884900552073</v>
      </c>
      <c r="D1189" s="1100">
        <v>1.0041850495388309</v>
      </c>
      <c r="E1189" s="1100">
        <v>1.0118389169832678</v>
      </c>
      <c r="F1189" s="1100">
        <v>1.0063822093695118</v>
      </c>
      <c r="G1189" s="1100">
        <v>1.0049753436850797</v>
      </c>
      <c r="H1189" s="1100">
        <v>0.96808829789243855</v>
      </c>
      <c r="I1189" s="1100">
        <v>1.026587188379734</v>
      </c>
      <c r="K1189">
        <v>1.1514048393219556</v>
      </c>
      <c r="L1189">
        <v>0</v>
      </c>
      <c r="M1189">
        <v>7.5748785765867189E-4</v>
      </c>
      <c r="N1189">
        <v>7.2237269317886918E-2</v>
      </c>
      <c r="O1189">
        <v>1.0368119380899843E-2</v>
      </c>
      <c r="P1189">
        <v>1.3727256551749374E-2</v>
      </c>
      <c r="Q1189">
        <v>4.5558877885066483E-4</v>
      </c>
      <c r="R1189">
        <v>7.5575490665864278E-4</v>
      </c>
      <c r="S1189">
        <v>7.3554947168846335E-2</v>
      </c>
      <c r="T1189">
        <v>0.83212875918319995</v>
      </c>
      <c r="U1189">
        <v>0</v>
      </c>
      <c r="V1189">
        <v>9.2387534887962225E-2</v>
      </c>
      <c r="W1189">
        <v>4.7123778497202277E-2</v>
      </c>
      <c r="X1189">
        <v>7.3664027849707076E-3</v>
      </c>
      <c r="Y1189">
        <v>2.0569157213868022E-3</v>
      </c>
    </row>
    <row r="1190" spans="1:25" x14ac:dyDescent="0.25">
      <c r="A1190" s="1096"/>
      <c r="B1190" s="1455">
        <v>940</v>
      </c>
      <c r="C1190" s="1100">
        <v>0.97089853766458833</v>
      </c>
      <c r="D1190" s="1100">
        <v>1.0200038859643954</v>
      </c>
      <c r="E1190" s="1100">
        <v>1.0209285254448137</v>
      </c>
      <c r="F1190" s="1100">
        <v>0.97403427890537408</v>
      </c>
      <c r="G1190" s="1100">
        <v>1.0083021593394579</v>
      </c>
      <c r="H1190" s="1100">
        <v>0.99815474779564384</v>
      </c>
      <c r="I1190" s="1100">
        <v>1.0241581412837584</v>
      </c>
      <c r="K1190">
        <v>1.1345747433021811</v>
      </c>
      <c r="L1190">
        <v>0</v>
      </c>
      <c r="M1190">
        <v>7.8200049087078795E-4</v>
      </c>
      <c r="N1190">
        <v>7.6653992815816294E-2</v>
      </c>
      <c r="O1190">
        <v>1.058236132996738E-2</v>
      </c>
      <c r="P1190">
        <v>1.3486628672736735E-2</v>
      </c>
      <c r="Q1190">
        <v>4.6923229544527955E-4</v>
      </c>
      <c r="R1190">
        <v>7.802653500515646E-4</v>
      </c>
      <c r="S1190">
        <v>7.6032642661199329E-2</v>
      </c>
      <c r="T1190">
        <v>0.80480037094326362</v>
      </c>
      <c r="U1190">
        <v>0</v>
      </c>
      <c r="V1190">
        <v>9.3196888639969375E-2</v>
      </c>
      <c r="W1190">
        <v>4.9739045401614265E-2</v>
      </c>
      <c r="X1190">
        <v>7.4916906145501578E-3</v>
      </c>
      <c r="Y1190">
        <v>2.1236250684368418E-3</v>
      </c>
    </row>
    <row r="1191" spans="1:25" x14ac:dyDescent="0.25">
      <c r="A1191" s="1096"/>
      <c r="B1191" s="1455">
        <v>941</v>
      </c>
      <c r="C1191" s="1100">
        <v>0.98629830088159398</v>
      </c>
      <c r="D1191" s="1100">
        <v>0.99310935014637047</v>
      </c>
      <c r="E1191" s="1100">
        <v>1.0330380254246927</v>
      </c>
      <c r="F1191" s="1100">
        <v>0.98991860734672854</v>
      </c>
      <c r="G1191" s="1100">
        <v>1.0298407369066183</v>
      </c>
      <c r="H1191" s="1100">
        <v>1.012042600316241</v>
      </c>
      <c r="I1191" s="1100">
        <v>0.97971800831630473</v>
      </c>
      <c r="K1191">
        <v>1.1472291155466874</v>
      </c>
      <c r="L1191">
        <v>0</v>
      </c>
      <c r="M1191">
        <v>7.6923946668954043E-4</v>
      </c>
      <c r="N1191">
        <v>7.8209584899688198E-2</v>
      </c>
      <c r="O1191">
        <v>1.0533116986510717E-2</v>
      </c>
      <c r="P1191">
        <v>1.3745808018078823E-2</v>
      </c>
      <c r="Q1191">
        <v>4.7268354549121269E-4</v>
      </c>
      <c r="R1191">
        <v>7.6755606273845383E-4</v>
      </c>
      <c r="S1191">
        <v>7.3163876905445777E-2</v>
      </c>
      <c r="T1191">
        <v>0.81714173029714299</v>
      </c>
      <c r="U1191">
        <v>0</v>
      </c>
      <c r="V1191">
        <v>9.3720665974068529E-2</v>
      </c>
      <c r="W1191">
        <v>5.0392118945962905E-2</v>
      </c>
      <c r="X1191">
        <v>7.762178800264208E-3</v>
      </c>
      <c r="Y1191">
        <v>2.089034577985992E-3</v>
      </c>
    </row>
    <row r="1192" spans="1:25" x14ac:dyDescent="0.25">
      <c r="A1192" s="1096"/>
      <c r="B1192" s="1455">
        <v>942</v>
      </c>
      <c r="C1192" s="1100">
        <v>0.99486341664604905</v>
      </c>
      <c r="D1192" s="1100">
        <v>0.97848930226852449</v>
      </c>
      <c r="E1192" s="1100">
        <v>1.0241632873145095</v>
      </c>
      <c r="F1192" s="1100">
        <v>0.98766739505702295</v>
      </c>
      <c r="G1192" s="1100">
        <v>1.0030470422135414</v>
      </c>
      <c r="H1192" s="1100">
        <v>1.0122126200450898</v>
      </c>
      <c r="I1192" s="1100">
        <v>0.9973741235217336</v>
      </c>
      <c r="K1192">
        <v>1.1444006343882558</v>
      </c>
      <c r="L1192">
        <v>0</v>
      </c>
      <c r="M1192">
        <v>7.8160164207917242E-4</v>
      </c>
      <c r="N1192">
        <v>7.7368457238014401E-2</v>
      </c>
      <c r="O1192">
        <v>1.0501608388137783E-2</v>
      </c>
      <c r="P1192">
        <v>1.3637689842517366E-2</v>
      </c>
      <c r="Q1192">
        <v>4.6714938971630597E-4</v>
      </c>
      <c r="R1192">
        <v>7.7989147204138027E-4</v>
      </c>
      <c r="S1192">
        <v>7.4401377547903907E-2</v>
      </c>
      <c r="T1192">
        <v>0.8158556155937231</v>
      </c>
      <c r="U1192">
        <v>0</v>
      </c>
      <c r="V1192">
        <v>9.2357739680451856E-2</v>
      </c>
      <c r="W1192">
        <v>5.0107915763851783E-2</v>
      </c>
      <c r="X1192">
        <v>7.5821836182356512E-3</v>
      </c>
      <c r="Y1192">
        <v>2.122607495741973E-3</v>
      </c>
    </row>
    <row r="1193" spans="1:25" x14ac:dyDescent="0.25">
      <c r="A1193" s="1096"/>
      <c r="B1193" s="1455">
        <v>943</v>
      </c>
      <c r="C1193" s="1100">
        <v>0.97101760636817003</v>
      </c>
      <c r="D1193" s="1100">
        <v>1.0265469535382126</v>
      </c>
      <c r="E1193" s="1100">
        <v>1.0083615864397963</v>
      </c>
      <c r="F1193" s="1100">
        <v>0.99918454491391062</v>
      </c>
      <c r="G1193" s="1100">
        <v>1.0193491620965773</v>
      </c>
      <c r="H1193" s="1100">
        <v>0.9733896114506726</v>
      </c>
      <c r="I1193" s="1100">
        <v>0.99951153782157964</v>
      </c>
      <c r="K1193">
        <v>1.1488937691523362</v>
      </c>
      <c r="L1193">
        <v>0</v>
      </c>
      <c r="M1193">
        <v>7.8068948181707202E-4</v>
      </c>
      <c r="N1193">
        <v>7.3673310189256033E-2</v>
      </c>
      <c r="O1193">
        <v>1.0549833845062733E-2</v>
      </c>
      <c r="P1193">
        <v>1.3622143307819251E-2</v>
      </c>
      <c r="Q1193">
        <v>4.6196502076016859E-4</v>
      </c>
      <c r="R1193">
        <v>7.7891317820404777E-4</v>
      </c>
      <c r="S1193">
        <v>7.2909462250115908E-2</v>
      </c>
      <c r="T1193">
        <v>0.82640624979742427</v>
      </c>
      <c r="U1193">
        <v>0</v>
      </c>
      <c r="V1193">
        <v>9.3663886948735592E-2</v>
      </c>
      <c r="W1193">
        <v>4.8159217197123329E-2</v>
      </c>
      <c r="X1193">
        <v>7.3295319972394614E-3</v>
      </c>
      <c r="Y1193">
        <v>2.1199449024112312E-3</v>
      </c>
    </row>
    <row r="1194" spans="1:25" x14ac:dyDescent="0.25">
      <c r="A1194" s="1096"/>
      <c r="B1194" s="1455">
        <v>944</v>
      </c>
      <c r="C1194" s="1100">
        <v>0.96666142816897749</v>
      </c>
      <c r="D1194" s="1100">
        <v>0.99561684078228707</v>
      </c>
      <c r="E1194" s="1100">
        <v>1.000813941742732</v>
      </c>
      <c r="F1194" s="1100">
        <v>0.99596904373708117</v>
      </c>
      <c r="G1194" s="1100">
        <v>1.0097290529672887</v>
      </c>
      <c r="H1194" s="1100">
        <v>1.0193613115405451</v>
      </c>
      <c r="I1194" s="1100">
        <v>0.99272110277199621</v>
      </c>
      <c r="K1194">
        <v>1.1567782726971465</v>
      </c>
      <c r="L1194">
        <v>0</v>
      </c>
      <c r="M1194">
        <v>8.4448377559831218E-4</v>
      </c>
      <c r="N1194">
        <v>7.7905464511410075E-2</v>
      </c>
      <c r="O1194">
        <v>1.0725294950997465E-2</v>
      </c>
      <c r="P1194">
        <v>1.3551936368616896E-2</v>
      </c>
      <c r="Q1194">
        <v>4.6610760275309397E-4</v>
      </c>
      <c r="R1194">
        <v>8.4264897555547168E-4</v>
      </c>
      <c r="S1194">
        <v>7.5810161680047783E-2</v>
      </c>
      <c r="T1194">
        <v>0.82424332937815237</v>
      </c>
      <c r="U1194">
        <v>0</v>
      </c>
      <c r="V1194">
        <v>9.3366467230137376E-2</v>
      </c>
      <c r="W1194">
        <v>5.1153849896929997E-2</v>
      </c>
      <c r="X1194">
        <v>7.2640831458427278E-3</v>
      </c>
      <c r="Y1194">
        <v>2.2934127323018571E-3</v>
      </c>
    </row>
    <row r="1195" spans="1:25" x14ac:dyDescent="0.25">
      <c r="A1195" s="1096"/>
      <c r="B1195" s="1455">
        <v>945</v>
      </c>
      <c r="C1195" s="1100">
        <v>1.0420541147165976</v>
      </c>
      <c r="D1195" s="1100">
        <v>0.9847313730533237</v>
      </c>
      <c r="E1195" s="1100">
        <v>1.0071342510578294</v>
      </c>
      <c r="F1195" s="1100">
        <v>1.0156919136928115</v>
      </c>
      <c r="G1195" s="1100">
        <v>1.0317584293630224</v>
      </c>
      <c r="H1195" s="1100">
        <v>1.0156359576131468</v>
      </c>
      <c r="I1195" s="1100">
        <v>1.0204930304703825</v>
      </c>
      <c r="K1195">
        <v>1.1590649700379525</v>
      </c>
      <c r="L1195">
        <v>0</v>
      </c>
      <c r="M1195">
        <v>7.7374511279639619E-4</v>
      </c>
      <c r="N1195">
        <v>7.2754774944528797E-2</v>
      </c>
      <c r="O1195">
        <v>9.9951656429756071E-3</v>
      </c>
      <c r="P1195">
        <v>1.3776562240807606E-2</v>
      </c>
      <c r="Q1195">
        <v>4.3713942164208476E-4</v>
      </c>
      <c r="R1195">
        <v>7.7205783951816737E-4</v>
      </c>
      <c r="S1195">
        <v>7.2559108797309396E-2</v>
      </c>
      <c r="T1195">
        <v>0.84014139346235761</v>
      </c>
      <c r="U1195">
        <v>0</v>
      </c>
      <c r="V1195">
        <v>9.2454108251803807E-2</v>
      </c>
      <c r="W1195">
        <v>4.7593276877638035E-2</v>
      </c>
      <c r="X1195">
        <v>7.2538407417978689E-3</v>
      </c>
      <c r="Y1195">
        <v>2.1012869303700548E-3</v>
      </c>
    </row>
    <row r="1196" spans="1:25" x14ac:dyDescent="0.25">
      <c r="A1196" s="1096"/>
      <c r="B1196" s="1455">
        <v>946</v>
      </c>
      <c r="C1196" s="1100">
        <v>1.0334022809569938</v>
      </c>
      <c r="D1196" s="1100">
        <v>1.0435666043472431</v>
      </c>
      <c r="E1196" s="1100">
        <v>1.0054751437897576</v>
      </c>
      <c r="F1196" s="1100">
        <v>1.005015734709092</v>
      </c>
      <c r="G1196" s="1100">
        <v>1.0297024297156077</v>
      </c>
      <c r="H1196" s="1100">
        <v>1.015950142288969</v>
      </c>
      <c r="I1196" s="1100">
        <v>0.97584825266878528</v>
      </c>
      <c r="K1196">
        <v>1.1434388759440188</v>
      </c>
      <c r="L1196">
        <v>0</v>
      </c>
      <c r="M1196">
        <v>7.6518812851195204E-4</v>
      </c>
      <c r="N1196">
        <v>7.1590632178051519E-2</v>
      </c>
      <c r="O1196">
        <v>9.8470714315409026E-3</v>
      </c>
      <c r="P1196">
        <v>1.3578296918437989E-2</v>
      </c>
      <c r="Q1196">
        <v>4.2994738677420741E-4</v>
      </c>
      <c r="R1196">
        <v>7.635200311099774E-4</v>
      </c>
      <c r="S1196">
        <v>6.7927539972105697E-2</v>
      </c>
      <c r="T1196">
        <v>0.8314205188618814</v>
      </c>
      <c r="U1196">
        <v>0</v>
      </c>
      <c r="V1196">
        <v>9.2565150358899465E-2</v>
      </c>
      <c r="W1196">
        <v>4.6877714403460703E-2</v>
      </c>
      <c r="X1196">
        <v>7.1256226998977976E-3</v>
      </c>
      <c r="Y1196">
        <v>2.0780498303707463E-3</v>
      </c>
    </row>
    <row r="1197" spans="1:25" x14ac:dyDescent="0.25">
      <c r="A1197" s="1096"/>
      <c r="B1197" s="1455">
        <v>947</v>
      </c>
      <c r="C1197" s="1100">
        <v>0.97103942747413763</v>
      </c>
      <c r="D1197" s="1100">
        <v>0.96110540063756245</v>
      </c>
      <c r="E1197" s="1100">
        <v>0.95870585039856204</v>
      </c>
      <c r="F1197" s="1100">
        <v>1.0080450070894351</v>
      </c>
      <c r="G1197" s="1100">
        <v>0.9954318610600259</v>
      </c>
      <c r="H1197" s="1100">
        <v>0.99301901745829912</v>
      </c>
      <c r="I1197" s="1100">
        <v>0.99898089074233531</v>
      </c>
      <c r="K1197">
        <v>1.1626070940527784</v>
      </c>
      <c r="L1197">
        <v>0</v>
      </c>
      <c r="M1197">
        <v>9.0614764249879575E-4</v>
      </c>
      <c r="N1197">
        <v>7.3589911204625685E-2</v>
      </c>
      <c r="O1197">
        <v>1.0814300740623202E-2</v>
      </c>
      <c r="P1197">
        <v>1.3289131311436565E-2</v>
      </c>
      <c r="Q1197">
        <v>4.5028252216747537E-4</v>
      </c>
      <c r="R1197">
        <v>9.0412663941141715E-4</v>
      </c>
      <c r="S1197">
        <v>7.615863378744564E-2</v>
      </c>
      <c r="T1197">
        <v>0.83707512541989892</v>
      </c>
      <c r="U1197">
        <v>0</v>
      </c>
      <c r="V1197">
        <v>9.2633399108657616E-2</v>
      </c>
      <c r="W1197">
        <v>4.9564842447002704E-2</v>
      </c>
      <c r="X1197">
        <v>6.5727538467968694E-3</v>
      </c>
      <c r="Y1197">
        <v>2.4607346672112971E-3</v>
      </c>
    </row>
    <row r="1198" spans="1:25" x14ac:dyDescent="0.25">
      <c r="A1198" s="1096"/>
      <c r="B1198" s="1455">
        <v>948</v>
      </c>
      <c r="C1198" s="1100">
        <v>1.0175347250866718</v>
      </c>
      <c r="D1198" s="1100">
        <v>1.0027642670669876</v>
      </c>
      <c r="E1198" s="1100">
        <v>0.98699588233465774</v>
      </c>
      <c r="F1198" s="1100">
        <v>0.96334500723239402</v>
      </c>
      <c r="G1198" s="1100">
        <v>1.0179105065516134</v>
      </c>
      <c r="H1198" s="1100">
        <v>1.0150102765820754</v>
      </c>
      <c r="I1198" s="1100">
        <v>1.0073854559085396</v>
      </c>
      <c r="K1198">
        <v>1.1162866712495569</v>
      </c>
      <c r="L1198">
        <v>0</v>
      </c>
      <c r="M1198">
        <v>8.1969521768238379E-4</v>
      </c>
      <c r="N1198">
        <v>7.2524743270268449E-2</v>
      </c>
      <c r="O1198">
        <v>1.0155518636535516E-2</v>
      </c>
      <c r="P1198">
        <v>1.3003868415058534E-2</v>
      </c>
      <c r="Q1198">
        <v>4.3523763304232553E-4</v>
      </c>
      <c r="R1198">
        <v>8.1790664110177396E-4</v>
      </c>
      <c r="S1198">
        <v>7.2625297085507148E-2</v>
      </c>
      <c r="T1198">
        <v>0.79812826879643173</v>
      </c>
      <c r="U1198">
        <v>0</v>
      </c>
      <c r="V1198">
        <v>9.2432695386422153E-2</v>
      </c>
      <c r="W1198">
        <v>4.8015402095167518E-2</v>
      </c>
      <c r="X1198">
        <v>6.7413562534771859E-3</v>
      </c>
      <c r="Y1198">
        <v>2.2260722542272525E-3</v>
      </c>
    </row>
    <row r="1199" spans="1:25" x14ac:dyDescent="0.25">
      <c r="A1199" s="1096"/>
      <c r="B1199" s="1455">
        <v>949</v>
      </c>
      <c r="C1199" s="1100">
        <v>0.98688663101974861</v>
      </c>
      <c r="D1199" s="1100">
        <v>1.0011150845052341</v>
      </c>
      <c r="E1199" s="1100">
        <v>0.97185784794034558</v>
      </c>
      <c r="F1199" s="1100">
        <v>1.0215972572255849</v>
      </c>
      <c r="G1199" s="1100">
        <v>1.0288456645951407</v>
      </c>
      <c r="H1199" s="1100">
        <v>1.0251485243044303</v>
      </c>
      <c r="I1199" s="1100">
        <v>1.0129924611799113</v>
      </c>
      <c r="K1199">
        <v>1.1747699250212162</v>
      </c>
      <c r="L1199">
        <v>0</v>
      </c>
      <c r="M1199">
        <v>8.8131217243244471E-4</v>
      </c>
      <c r="N1199">
        <v>7.448697293737426E-2</v>
      </c>
      <c r="O1199">
        <v>1.0472796274770723E-2</v>
      </c>
      <c r="P1199">
        <v>1.357101798286542E-2</v>
      </c>
      <c r="Q1199">
        <v>4.4198003953585741E-4</v>
      </c>
      <c r="R1199">
        <v>8.7940816536748862E-4</v>
      </c>
      <c r="S1199">
        <v>7.5765654956093248E-2</v>
      </c>
      <c r="T1199">
        <v>0.84742422388025818</v>
      </c>
      <c r="U1199">
        <v>0</v>
      </c>
      <c r="V1199">
        <v>9.3654717343128788E-2</v>
      </c>
      <c r="W1199">
        <v>4.976755260128056E-2</v>
      </c>
      <c r="X1199">
        <v>6.7934538836683222E-3</v>
      </c>
      <c r="Y1199">
        <v>2.3934591293065027E-3</v>
      </c>
    </row>
    <row r="1200" spans="1:25" x14ac:dyDescent="0.25">
      <c r="A1200" s="1096"/>
      <c r="B1200" s="1455">
        <v>950</v>
      </c>
      <c r="C1200" s="1100">
        <v>1.005594942886854</v>
      </c>
      <c r="D1200" s="1100">
        <v>1.0078471833771649</v>
      </c>
      <c r="E1200" s="1100">
        <v>0.97592398960284943</v>
      </c>
      <c r="F1200" s="1100">
        <v>1.0192197042033344</v>
      </c>
      <c r="G1200" s="1100">
        <v>0.99995219266204527</v>
      </c>
      <c r="H1200" s="1100">
        <v>1.0419351368861891</v>
      </c>
      <c r="I1200" s="1100">
        <v>0.9800424315098889</v>
      </c>
      <c r="K1200">
        <v>1.1668096232408371</v>
      </c>
      <c r="L1200">
        <v>0</v>
      </c>
      <c r="M1200">
        <v>8.693920058921407E-4</v>
      </c>
      <c r="N1200">
        <v>7.4392092073228291E-2</v>
      </c>
      <c r="O1200">
        <v>1.0251755154544887E-2</v>
      </c>
      <c r="P1200">
        <v>1.3514704361770807E-2</v>
      </c>
      <c r="Q1200">
        <v>4.3444940163913157E-4</v>
      </c>
      <c r="R1200">
        <v>8.6754401197854808E-4</v>
      </c>
      <c r="S1200">
        <v>7.2359156740243361E-2</v>
      </c>
      <c r="T1200">
        <v>0.84517414909807431</v>
      </c>
      <c r="U1200">
        <v>0</v>
      </c>
      <c r="V1200">
        <v>9.1952426451739358E-2</v>
      </c>
      <c r="W1200">
        <v>4.958168227444254E-2</v>
      </c>
      <c r="X1200">
        <v>6.7898868642678363E-3</v>
      </c>
      <c r="Y1200">
        <v>2.3611688147989196E-3</v>
      </c>
    </row>
    <row r="1201" spans="1:25" x14ac:dyDescent="0.25">
      <c r="A1201" s="1096"/>
      <c r="B1201" s="1455">
        <v>951</v>
      </c>
      <c r="C1201" s="1100">
        <v>0.9971495757271307</v>
      </c>
      <c r="D1201" s="1100">
        <v>1.0078776780463474</v>
      </c>
      <c r="E1201" s="1100">
        <v>1.0112968733201184</v>
      </c>
      <c r="F1201" s="1100">
        <v>1.0017897892448593</v>
      </c>
      <c r="G1201" s="1100">
        <v>0.99613974977161357</v>
      </c>
      <c r="H1201" s="1100">
        <v>0.97456672104767783</v>
      </c>
      <c r="I1201" s="1100">
        <v>1.0183630182245091</v>
      </c>
      <c r="K1201">
        <v>1.1472199639212228</v>
      </c>
      <c r="L1201">
        <v>0</v>
      </c>
      <c r="M1201">
        <v>7.6209673434337677E-4</v>
      </c>
      <c r="N1201">
        <v>7.2559077948086442E-2</v>
      </c>
      <c r="O1201">
        <v>1.0350019699864052E-2</v>
      </c>
      <c r="P1201">
        <v>1.3658181901715196E-2</v>
      </c>
      <c r="Q1201">
        <v>4.5454730599703383E-4</v>
      </c>
      <c r="R1201">
        <v>7.6036482920284173E-4</v>
      </c>
      <c r="S1201">
        <v>7.3076499048858823E-2</v>
      </c>
      <c r="T1201">
        <v>0.82836725574635772</v>
      </c>
      <c r="U1201">
        <v>0</v>
      </c>
      <c r="V1201">
        <v>9.200325342031454E-2</v>
      </c>
      <c r="W1201">
        <v>4.7348822467911562E-2</v>
      </c>
      <c r="X1201">
        <v>7.3345758763655551E-3</v>
      </c>
      <c r="Y1201">
        <v>2.0694624108915532E-3</v>
      </c>
    </row>
    <row r="1202" spans="1:25" x14ac:dyDescent="0.25">
      <c r="A1202" s="1096"/>
      <c r="B1202" s="1455">
        <v>952</v>
      </c>
      <c r="C1202" s="1100">
        <v>0.95070996413305231</v>
      </c>
      <c r="D1202" s="1100">
        <v>0.97459179417295327</v>
      </c>
      <c r="E1202" s="1100">
        <v>1.0185022626233975</v>
      </c>
      <c r="F1202" s="1100">
        <v>1.0297169730159681</v>
      </c>
      <c r="G1202" s="1100">
        <v>0.99378869121215807</v>
      </c>
      <c r="H1202" s="1100">
        <v>1.01748341311067</v>
      </c>
      <c r="I1202" s="1100">
        <v>1.0177503576910434</v>
      </c>
      <c r="K1202">
        <v>1.193415259023517</v>
      </c>
      <c r="L1202">
        <v>0</v>
      </c>
      <c r="M1202">
        <v>8.332325842733099E-4</v>
      </c>
      <c r="N1202">
        <v>8.1083681262332494E-2</v>
      </c>
      <c r="O1202">
        <v>1.1004913017604907E-2</v>
      </c>
      <c r="P1202">
        <v>1.4152211022825271E-2</v>
      </c>
      <c r="Q1202">
        <v>4.8679287956650491E-4</v>
      </c>
      <c r="R1202">
        <v>8.3141888831665645E-4</v>
      </c>
      <c r="S1202">
        <v>7.9834984563220163E-2</v>
      </c>
      <c r="T1202">
        <v>0.85097226438180218</v>
      </c>
      <c r="U1202">
        <v>0</v>
      </c>
      <c r="V1202">
        <v>9.3118353468282219E-2</v>
      </c>
      <c r="W1202">
        <v>5.2688124299933657E-2</v>
      </c>
      <c r="X1202">
        <v>7.8128996870716737E-3</v>
      </c>
      <c r="Y1202">
        <v>2.262848136835065E-3</v>
      </c>
    </row>
    <row r="1203" spans="1:25" x14ac:dyDescent="0.25">
      <c r="A1203" s="1096"/>
      <c r="B1203" s="1455">
        <v>953</v>
      </c>
      <c r="C1203" s="1100">
        <v>1.0055378138937057</v>
      </c>
      <c r="D1203" s="1100">
        <v>0.97905385376002318</v>
      </c>
      <c r="E1203" s="1100">
        <v>0.96465756765113586</v>
      </c>
      <c r="F1203" s="1100">
        <v>0.96312130090029524</v>
      </c>
      <c r="G1203" s="1100">
        <v>1.0130042829804164</v>
      </c>
      <c r="H1203" s="1100">
        <v>0.98735827961226619</v>
      </c>
      <c r="I1203" s="1100">
        <v>0.99664401282735382</v>
      </c>
      <c r="K1203">
        <v>1.1145525289796407</v>
      </c>
      <c r="L1203">
        <v>0</v>
      </c>
      <c r="M1203">
        <v>8.5312253275290168E-4</v>
      </c>
      <c r="N1203">
        <v>7.0543407467198796E-2</v>
      </c>
      <c r="O1203">
        <v>1.0368215204927964E-2</v>
      </c>
      <c r="P1203">
        <v>1.2799441825164347E-2</v>
      </c>
      <c r="Q1203">
        <v>4.3435499011308312E-4</v>
      </c>
      <c r="R1203">
        <v>8.5120888403720618E-4</v>
      </c>
      <c r="S1203">
        <v>7.245527086743879E-2</v>
      </c>
      <c r="T1203">
        <v>0.79938411931335351</v>
      </c>
      <c r="U1203">
        <v>0</v>
      </c>
      <c r="V1203">
        <v>9.2510758689836811E-2</v>
      </c>
      <c r="W1203">
        <v>4.733999994446924E-2</v>
      </c>
      <c r="X1203">
        <v>6.4021643444375585E-3</v>
      </c>
      <c r="Y1203">
        <v>2.3167099814160653E-3</v>
      </c>
    </row>
    <row r="1204" spans="1:25" x14ac:dyDescent="0.25">
      <c r="A1204" s="1096"/>
      <c r="B1204" s="1455">
        <v>954</v>
      </c>
      <c r="C1204" s="1100">
        <v>1.0063658499666259</v>
      </c>
      <c r="D1204" s="1100">
        <v>1.0117130968817212</v>
      </c>
      <c r="E1204" s="1100">
        <v>1.0139398619408708</v>
      </c>
      <c r="F1204" s="1100">
        <v>1.006027526505745</v>
      </c>
      <c r="G1204" s="1100">
        <v>0.96643156243500605</v>
      </c>
      <c r="H1204" s="1100">
        <v>1.0394597782835595</v>
      </c>
      <c r="I1204" s="1100">
        <v>1.0326494084548372</v>
      </c>
      <c r="K1204">
        <v>1.1589980168451752</v>
      </c>
      <c r="L1204">
        <v>0</v>
      </c>
      <c r="M1204">
        <v>7.997702124987328E-4</v>
      </c>
      <c r="N1204">
        <v>7.6766771709208426E-2</v>
      </c>
      <c r="O1204">
        <v>1.0240522898615522E-2</v>
      </c>
      <c r="P1204">
        <v>1.3750112779454595E-2</v>
      </c>
      <c r="Q1204">
        <v>4.5092655247235322E-4</v>
      </c>
      <c r="R1204">
        <v>7.9806615943828869E-4</v>
      </c>
      <c r="S1204">
        <v>7.5979830444414281E-2</v>
      </c>
      <c r="T1204">
        <v>0.83169644084001049</v>
      </c>
      <c r="U1204">
        <v>0</v>
      </c>
      <c r="V1204">
        <v>9.0506167220113815E-2</v>
      </c>
      <c r="W1204">
        <v>5.0016724637617894E-2</v>
      </c>
      <c r="X1204">
        <v>7.4201508127767811E-3</v>
      </c>
      <c r="Y1204">
        <v>2.1720730035522688E-3</v>
      </c>
    </row>
    <row r="1205" spans="1:25" x14ac:dyDescent="0.25">
      <c r="A1205" s="1096"/>
      <c r="B1205" s="1455">
        <v>955</v>
      </c>
      <c r="C1205" s="1100">
        <v>1.0118381364480904</v>
      </c>
      <c r="D1205" s="1100">
        <v>0.99813867940249079</v>
      </c>
      <c r="E1205" s="1100">
        <v>0.95465953123024683</v>
      </c>
      <c r="F1205" s="1100">
        <v>1.008797757234809</v>
      </c>
      <c r="G1205" s="1100">
        <v>0.98971599717835268</v>
      </c>
      <c r="H1205" s="1100">
        <v>0.97235113463259204</v>
      </c>
      <c r="I1205" s="1100">
        <v>1.002217717970483</v>
      </c>
      <c r="K1205">
        <v>1.1465533468121796</v>
      </c>
      <c r="L1205">
        <v>0</v>
      </c>
      <c r="M1205">
        <v>8.4575071618099226E-4</v>
      </c>
      <c r="N1205">
        <v>6.7844546403597758E-2</v>
      </c>
      <c r="O1205">
        <v>1.0221180637002471E-2</v>
      </c>
      <c r="P1205">
        <v>1.3175472540034708E-2</v>
      </c>
      <c r="Q1205">
        <v>4.2381683493825155E-4</v>
      </c>
      <c r="R1205">
        <v>8.4382432346787755E-4</v>
      </c>
      <c r="S1205">
        <v>7.1074995516967401E-2</v>
      </c>
      <c r="T1205">
        <v>0.8379761635384988</v>
      </c>
      <c r="U1205">
        <v>0</v>
      </c>
      <c r="V1205">
        <v>9.1359998408773041E-2</v>
      </c>
      <c r="W1205">
        <v>4.5809054636174878E-2</v>
      </c>
      <c r="X1205">
        <v>6.3734330470394413E-3</v>
      </c>
      <c r="Y1205">
        <v>2.2966116418660907E-3</v>
      </c>
    </row>
    <row r="1206" spans="1:25" x14ac:dyDescent="0.25">
      <c r="A1206" s="1096"/>
      <c r="B1206" s="1455">
        <v>956</v>
      </c>
      <c r="C1206" s="1100">
        <v>0.99915037937489959</v>
      </c>
      <c r="D1206" s="1100">
        <v>1.0433078362418882</v>
      </c>
      <c r="E1206" s="1100">
        <v>1.0226874619003645</v>
      </c>
      <c r="F1206" s="1100">
        <v>0.98369372110667663</v>
      </c>
      <c r="G1206" s="1100">
        <v>0.9774287735586914</v>
      </c>
      <c r="H1206" s="1100">
        <v>1.0317853927608691</v>
      </c>
      <c r="I1206" s="1100">
        <v>1.0185560618940093</v>
      </c>
      <c r="K1206">
        <v>1.1375800714144679</v>
      </c>
      <c r="L1206">
        <v>0</v>
      </c>
      <c r="M1206">
        <v>7.7558144850153898E-4</v>
      </c>
      <c r="N1206">
        <v>7.6434750298002035E-2</v>
      </c>
      <c r="O1206">
        <v>1.0191205066053406E-2</v>
      </c>
      <c r="P1206">
        <v>1.3556638745381195E-2</v>
      </c>
      <c r="Q1206">
        <v>4.5267813440017169E-4</v>
      </c>
      <c r="R1206">
        <v>7.7391664256770036E-4</v>
      </c>
      <c r="S1206">
        <v>7.4006548824201046E-2</v>
      </c>
      <c r="T1206">
        <v>0.81266820186505828</v>
      </c>
      <c r="U1206">
        <v>0</v>
      </c>
      <c r="V1206">
        <v>9.1155676924839626E-2</v>
      </c>
      <c r="W1206">
        <v>4.9545843924774083E-2</v>
      </c>
      <c r="X1206">
        <v>7.4638464581743948E-3</v>
      </c>
      <c r="Y1206">
        <v>2.1063459795166231E-3</v>
      </c>
    </row>
    <row r="1207" spans="1:25" x14ac:dyDescent="0.25">
      <c r="A1207" s="1096"/>
      <c r="B1207" s="1455">
        <v>957</v>
      </c>
      <c r="C1207" s="1100">
        <v>0.99344510922361584</v>
      </c>
      <c r="D1207" s="1100">
        <v>0.98456543362113413</v>
      </c>
      <c r="E1207" s="1100">
        <v>1.0133681230948144</v>
      </c>
      <c r="F1207" s="1100">
        <v>1.0058468755954513</v>
      </c>
      <c r="G1207" s="1100">
        <v>0.97984874495942098</v>
      </c>
      <c r="H1207" s="1100">
        <v>1.0039099712771251</v>
      </c>
      <c r="I1207" s="1100">
        <v>1.0079950160943718</v>
      </c>
      <c r="K1207">
        <v>1.1573071439165963</v>
      </c>
      <c r="L1207">
        <v>0</v>
      </c>
      <c r="M1207">
        <v>7.9196424000620223E-4</v>
      </c>
      <c r="N1207">
        <v>7.5880705604067927E-2</v>
      </c>
      <c r="O1207">
        <v>1.0487003120629904E-2</v>
      </c>
      <c r="P1207">
        <v>1.3737512761121654E-2</v>
      </c>
      <c r="Q1207">
        <v>4.615166354801844E-4</v>
      </c>
      <c r="R1207">
        <v>7.9021706510559947E-4</v>
      </c>
      <c r="S1207">
        <v>7.470419008636052E-2</v>
      </c>
      <c r="T1207">
        <v>0.83158491303911197</v>
      </c>
      <c r="U1207">
        <v>0</v>
      </c>
      <c r="V1207">
        <v>9.1399934210712561E-2</v>
      </c>
      <c r="W1207">
        <v>4.9456038883668695E-2</v>
      </c>
      <c r="X1207">
        <v>7.4463663941124469E-3</v>
      </c>
      <c r="Y1207">
        <v>2.150710356231939E-3</v>
      </c>
    </row>
    <row r="1208" spans="1:25" x14ac:dyDescent="0.25">
      <c r="A1208" s="1096"/>
      <c r="B1208" s="1455">
        <v>958</v>
      </c>
      <c r="C1208" s="1100">
        <v>1.0269775271212098</v>
      </c>
      <c r="D1208" s="1100">
        <v>1.0000430072350703</v>
      </c>
      <c r="E1208" s="1100">
        <v>1.0086257590056649</v>
      </c>
      <c r="F1208" s="1100">
        <v>0.96062729771031674</v>
      </c>
      <c r="G1208" s="1100">
        <v>1.0449113289473633</v>
      </c>
      <c r="H1208" s="1100">
        <v>1.007425265133431</v>
      </c>
      <c r="I1208" s="1100">
        <v>1.0424019781504843</v>
      </c>
      <c r="K1208">
        <v>1.1155568398902371</v>
      </c>
      <c r="L1208">
        <v>0</v>
      </c>
      <c r="M1208">
        <v>7.7157187022787704E-4</v>
      </c>
      <c r="N1208">
        <v>7.2876600270830191E-2</v>
      </c>
      <c r="O1208">
        <v>1.007997540998001E-2</v>
      </c>
      <c r="P1208">
        <v>1.3201751509335892E-2</v>
      </c>
      <c r="Q1208">
        <v>4.4150713690934725E-4</v>
      </c>
      <c r="R1208">
        <v>7.6987562309944178E-4</v>
      </c>
      <c r="S1208">
        <v>7.4275241779143686E-2</v>
      </c>
      <c r="T1208">
        <v>0.79449956386571863</v>
      </c>
      <c r="U1208">
        <v>0</v>
      </c>
      <c r="V1208">
        <v>9.3365734022541155E-2</v>
      </c>
      <c r="W1208">
        <v>4.763098984622248E-2</v>
      </c>
      <c r="X1208">
        <v>7.0918246400383678E-3</v>
      </c>
      <c r="Y1208">
        <v>2.095347656645733E-3</v>
      </c>
    </row>
    <row r="1209" spans="1:25" x14ac:dyDescent="0.25">
      <c r="A1209" s="1096"/>
      <c r="B1209" s="1455">
        <v>959</v>
      </c>
      <c r="C1209" s="1100">
        <v>1.0243781086000185</v>
      </c>
      <c r="D1209" s="1100">
        <v>1.0197628921578181</v>
      </c>
      <c r="E1209" s="1100">
        <v>1.0405060248163391</v>
      </c>
      <c r="F1209" s="1100">
        <v>0.96854832139925073</v>
      </c>
      <c r="G1209" s="1100">
        <v>0.97632513806169396</v>
      </c>
      <c r="H1209" s="1100">
        <v>1.0010945509428155</v>
      </c>
      <c r="I1209" s="1100">
        <v>0.970322444929131</v>
      </c>
      <c r="K1209">
        <v>1.1132720973655728</v>
      </c>
      <c r="L1209">
        <v>0</v>
      </c>
      <c r="M1209">
        <v>7.1370688959801715E-4</v>
      </c>
      <c r="N1209">
        <v>7.4213043515439794E-2</v>
      </c>
      <c r="O1209">
        <v>1.0037072587921558E-2</v>
      </c>
      <c r="P1209">
        <v>1.3453927073245942E-2</v>
      </c>
      <c r="Q1209">
        <v>4.5374870949160877E-4</v>
      </c>
      <c r="R1209">
        <v>7.1212793235590939E-4</v>
      </c>
      <c r="S1209">
        <v>6.84175613880975E-2</v>
      </c>
      <c r="T1209">
        <v>0.79903109227734559</v>
      </c>
      <c r="U1209">
        <v>0</v>
      </c>
      <c r="V1209">
        <v>9.0500627674133458E-2</v>
      </c>
      <c r="W1209">
        <v>4.761131604597614E-2</v>
      </c>
      <c r="X1209">
        <v>7.6171095721999007E-3</v>
      </c>
      <c r="Y1209">
        <v>1.9381774789629753E-3</v>
      </c>
    </row>
    <row r="1210" spans="1:25" x14ac:dyDescent="0.25">
      <c r="A1210" s="1096"/>
      <c r="B1210" s="1455">
        <v>960</v>
      </c>
      <c r="C1210" s="1100">
        <v>1.0168355476755382</v>
      </c>
      <c r="D1210" s="1100">
        <v>1.0180212134727902</v>
      </c>
      <c r="E1210" s="1100">
        <v>0.96304172341301408</v>
      </c>
      <c r="F1210" s="1100">
        <v>1.0074068354326002</v>
      </c>
      <c r="G1210" s="1100">
        <v>1.0108953901201079</v>
      </c>
      <c r="H1210" s="1100">
        <v>0.97756197997939487</v>
      </c>
      <c r="I1210" s="1100">
        <v>1.0108785072672855</v>
      </c>
      <c r="K1210">
        <v>1.1452096755607817</v>
      </c>
      <c r="L1210">
        <v>0</v>
      </c>
      <c r="M1210">
        <v>8.2507955051970496E-4</v>
      </c>
      <c r="N1210">
        <v>6.7889915894092601E-2</v>
      </c>
      <c r="O1210">
        <v>1.0093679350398238E-2</v>
      </c>
      <c r="P1210">
        <v>1.3245760183940818E-2</v>
      </c>
      <c r="Q1210">
        <v>4.2215370458249438E-4</v>
      </c>
      <c r="R1210">
        <v>8.2321025872832024E-4</v>
      </c>
      <c r="S1210">
        <v>7.0834675998108762E-2</v>
      </c>
      <c r="T1210">
        <v>0.83625048335654628</v>
      </c>
      <c r="U1210">
        <v>0</v>
      </c>
      <c r="V1210">
        <v>9.2146692881538456E-2</v>
      </c>
      <c r="W1210">
        <v>4.5604352350714535E-2</v>
      </c>
      <c r="X1210">
        <v>6.4833241795805088E-3</v>
      </c>
      <c r="Y1210">
        <v>2.2405069530696312E-3</v>
      </c>
    </row>
    <row r="1211" spans="1:25" x14ac:dyDescent="0.25">
      <c r="A1211" s="1096"/>
      <c r="B1211" s="1455">
        <v>961</v>
      </c>
      <c r="C1211" s="1100">
        <v>0.97531370671754736</v>
      </c>
      <c r="D1211" s="1100">
        <v>0.97596446976247586</v>
      </c>
      <c r="E1211" s="1100">
        <v>0.96907424906156059</v>
      </c>
      <c r="F1211" s="1100">
        <v>1.0050462158176567</v>
      </c>
      <c r="G1211" s="1100">
        <v>1.005179085487278</v>
      </c>
      <c r="H1211" s="1100">
        <v>1.0324145031685943</v>
      </c>
      <c r="I1211" s="1100">
        <v>1.0360057516205678</v>
      </c>
      <c r="K1211">
        <v>1.1680112696580711</v>
      </c>
      <c r="L1211">
        <v>0</v>
      </c>
      <c r="M1211">
        <v>9.1250642705957292E-4</v>
      </c>
      <c r="N1211">
        <v>7.647734703710736E-2</v>
      </c>
      <c r="O1211">
        <v>1.0704527660865677E-2</v>
      </c>
      <c r="P1211">
        <v>1.3405330124007643E-2</v>
      </c>
      <c r="Q1211">
        <v>4.5047660429305283E-4</v>
      </c>
      <c r="R1211">
        <v>9.1054890162754504E-4</v>
      </c>
      <c r="S1211">
        <v>7.9747961840376386E-2</v>
      </c>
      <c r="T1211">
        <v>0.83388287485726387</v>
      </c>
      <c r="U1211">
        <v>0</v>
      </c>
      <c r="V1211">
        <v>9.2939931732140782E-2</v>
      </c>
      <c r="W1211">
        <v>5.1184006563159863E-2</v>
      </c>
      <c r="X1211">
        <v>6.7425568164215313E-3</v>
      </c>
      <c r="Y1211">
        <v>2.4782139478654258E-3</v>
      </c>
    </row>
    <row r="1212" spans="1:25" x14ac:dyDescent="0.25">
      <c r="A1212" s="1096"/>
      <c r="B1212" s="1455">
        <v>962</v>
      </c>
      <c r="C1212" s="1100">
        <v>0.98447384500554502</v>
      </c>
      <c r="D1212" s="1100">
        <v>0.9763357693396103</v>
      </c>
      <c r="E1212" s="1100">
        <v>0.97969281703432587</v>
      </c>
      <c r="F1212" s="1100">
        <v>1.0018275658067777</v>
      </c>
      <c r="G1212" s="1100">
        <v>1.0074171109678194</v>
      </c>
      <c r="H1212" s="1100">
        <v>0.96289934278670097</v>
      </c>
      <c r="I1212" s="1100">
        <v>0.9654114406293085</v>
      </c>
      <c r="K1212">
        <v>1.1464297539582857</v>
      </c>
      <c r="L1212">
        <v>0</v>
      </c>
      <c r="M1212">
        <v>8.2472586713816564E-4</v>
      </c>
      <c r="N1212">
        <v>7.1367083086152847E-2</v>
      </c>
      <c r="O1212">
        <v>1.0606862346596468E-2</v>
      </c>
      <c r="P1212">
        <v>1.3347313343910252E-2</v>
      </c>
      <c r="Q1212">
        <v>4.5122542495625376E-4</v>
      </c>
      <c r="R1212">
        <v>8.2282892403960119E-4</v>
      </c>
      <c r="S1212">
        <v>7.0821487742419434E-2</v>
      </c>
      <c r="T1212">
        <v>0.83049927175390303</v>
      </c>
      <c r="U1212">
        <v>0</v>
      </c>
      <c r="V1212">
        <v>9.2800728694905604E-2</v>
      </c>
      <c r="W1212">
        <v>4.7457230120331567E-2</v>
      </c>
      <c r="X1212">
        <v>6.8409793024549635E-3</v>
      </c>
      <c r="Y1212">
        <v>2.2394690857538836E-3</v>
      </c>
    </row>
    <row r="1213" spans="1:25" x14ac:dyDescent="0.25">
      <c r="A1213" s="1096"/>
      <c r="B1213" s="1455">
        <v>963</v>
      </c>
      <c r="C1213" s="1100">
        <v>0.99804244274254761</v>
      </c>
      <c r="D1213" s="1100">
        <v>0.97241452224198766</v>
      </c>
      <c r="E1213" s="1100">
        <v>0.9739387226844507</v>
      </c>
      <c r="F1213" s="1100">
        <v>1.0066104780249439</v>
      </c>
      <c r="G1213" s="1100">
        <v>1.0139221486637846</v>
      </c>
      <c r="H1213" s="1100">
        <v>0.95930292159152619</v>
      </c>
      <c r="I1213" s="1100">
        <v>0.99113171458641924</v>
      </c>
      <c r="K1213">
        <v>1.1490268076203831</v>
      </c>
      <c r="L1213">
        <v>0</v>
      </c>
      <c r="M1213">
        <v>8.2149225485375914E-4</v>
      </c>
      <c r="N1213">
        <v>6.9859462589069915E-2</v>
      </c>
      <c r="O1213">
        <v>1.0477614545916595E-2</v>
      </c>
      <c r="P1213">
        <v>1.3358137801624708E-2</v>
      </c>
      <c r="Q1213">
        <v>4.4312330390679049E-4</v>
      </c>
      <c r="R1213">
        <v>8.1959566560666289E-4</v>
      </c>
      <c r="S1213">
        <v>7.1715505011377745E-2</v>
      </c>
      <c r="T1213">
        <v>0.83485204289478987</v>
      </c>
      <c r="U1213">
        <v>0</v>
      </c>
      <c r="V1213">
        <v>9.273609184853597E-2</v>
      </c>
      <c r="W1213">
        <v>4.6616797392390684E-2</v>
      </c>
      <c r="X1213">
        <v>6.7392595998742406E-3</v>
      </c>
      <c r="Y1213">
        <v>2.230669222142781E-3</v>
      </c>
    </row>
    <row r="1214" spans="1:25" x14ac:dyDescent="0.25">
      <c r="A1214" s="1096"/>
      <c r="B1214" s="1455">
        <v>964</v>
      </c>
      <c r="C1214" s="1100">
        <v>0.99384827119180086</v>
      </c>
      <c r="D1214" s="1100">
        <v>0.9701037536153011</v>
      </c>
      <c r="E1214" s="1100">
        <v>0.97181676593210697</v>
      </c>
      <c r="F1214" s="1100">
        <v>0.99050913464346269</v>
      </c>
      <c r="G1214" s="1100">
        <v>1.0025385811276259</v>
      </c>
      <c r="H1214" s="1100">
        <v>0.97633037308555037</v>
      </c>
      <c r="I1214" s="1100">
        <v>1.013976641089029</v>
      </c>
      <c r="K1214">
        <v>1.1405786222435343</v>
      </c>
      <c r="L1214">
        <v>0</v>
      </c>
      <c r="M1214">
        <v>8.4409267123905117E-4</v>
      </c>
      <c r="N1214">
        <v>7.1324650537990322E-2</v>
      </c>
      <c r="O1214">
        <v>1.0531145194445656E-2</v>
      </c>
      <c r="P1214">
        <v>1.3191998717122915E-2</v>
      </c>
      <c r="Q1214">
        <v>4.4442387797670083E-4</v>
      </c>
      <c r="R1214">
        <v>8.4217789113027889E-4</v>
      </c>
      <c r="S1214">
        <v>7.4481325824628755E-2</v>
      </c>
      <c r="T1214">
        <v>0.82163907430897132</v>
      </c>
      <c r="U1214">
        <v>0</v>
      </c>
      <c r="V1214">
        <v>9.2353688803205658E-2</v>
      </c>
      <c r="W1214">
        <v>4.7655875708736382E-2</v>
      </c>
      <c r="X1214">
        <v>6.6662234547763101E-3</v>
      </c>
      <c r="Y1214">
        <v>2.2921305957894216E-3</v>
      </c>
    </row>
    <row r="1215" spans="1:25" x14ac:dyDescent="0.25">
      <c r="A1215" s="1096"/>
      <c r="B1215" s="1455">
        <v>965</v>
      </c>
      <c r="C1215" s="1100">
        <v>1.0229267462162595</v>
      </c>
      <c r="D1215" s="1100">
        <v>0.98981032886535425</v>
      </c>
      <c r="E1215" s="1100">
        <v>0.98668295473925982</v>
      </c>
      <c r="F1215" s="1100">
        <v>0.98840204383900243</v>
      </c>
      <c r="G1215" s="1100">
        <v>1.0398491202646605</v>
      </c>
      <c r="H1215" s="1100">
        <v>0.97679181366676116</v>
      </c>
      <c r="I1215" s="1100">
        <v>0.95925838282532805</v>
      </c>
      <c r="K1215">
        <v>1.128653310348511</v>
      </c>
      <c r="L1215">
        <v>0</v>
      </c>
      <c r="M1215">
        <v>7.8927573036953697E-4</v>
      </c>
      <c r="N1215">
        <v>6.9761273279565147E-2</v>
      </c>
      <c r="O1215">
        <v>1.0154563718123543E-2</v>
      </c>
      <c r="P1215">
        <v>1.3226790402992182E-2</v>
      </c>
      <c r="Q1215">
        <v>4.3505883679394321E-4</v>
      </c>
      <c r="R1215">
        <v>7.8748614543320725E-4</v>
      </c>
      <c r="S1215">
        <v>6.7786971250865261E-2</v>
      </c>
      <c r="T1215">
        <v>0.81890855257839068</v>
      </c>
      <c r="U1215">
        <v>0</v>
      </c>
      <c r="V1215">
        <v>9.3242438752093412E-2</v>
      </c>
      <c r="W1215">
        <v>4.6194512321954866E-2</v>
      </c>
      <c r="X1215">
        <v>6.8016610995379184E-3</v>
      </c>
      <c r="Y1215">
        <v>2.1432776931311157E-3</v>
      </c>
    </row>
    <row r="1216" spans="1:25" x14ac:dyDescent="0.25">
      <c r="A1216" s="1096"/>
      <c r="B1216" s="1455">
        <v>966</v>
      </c>
      <c r="C1216" s="1100">
        <v>1.0147552418152144</v>
      </c>
      <c r="D1216" s="1100">
        <v>1.0212716285252568</v>
      </c>
      <c r="E1216" s="1100">
        <v>1.004585063912607</v>
      </c>
      <c r="F1216" s="1100">
        <v>1.0036515721956507</v>
      </c>
      <c r="G1216" s="1100">
        <v>1.023372503973045</v>
      </c>
      <c r="H1216" s="1100">
        <v>1.0331107423982868</v>
      </c>
      <c r="I1216" s="1100">
        <v>0.95692930106987695</v>
      </c>
      <c r="K1216">
        <v>1.1494910721735438</v>
      </c>
      <c r="L1216">
        <v>0</v>
      </c>
      <c r="M1216">
        <v>8.0076455485934741E-4</v>
      </c>
      <c r="N1216">
        <v>7.4720735028890678E-2</v>
      </c>
      <c r="O1216">
        <v>1.0114735495392893E-2</v>
      </c>
      <c r="P1216">
        <v>1.3574987128355989E-2</v>
      </c>
      <c r="Q1216">
        <v>4.4124040672120188E-4</v>
      </c>
      <c r="R1216">
        <v>7.9904789780821893E-4</v>
      </c>
      <c r="S1216">
        <v>6.9240008652866697E-2</v>
      </c>
      <c r="T1216">
        <v>0.83035098370921201</v>
      </c>
      <c r="U1216">
        <v>0</v>
      </c>
      <c r="V1216">
        <v>9.2735156724557441E-2</v>
      </c>
      <c r="W1216">
        <v>4.8953100646404048E-2</v>
      </c>
      <c r="X1216">
        <v>7.1870960664279782E-3</v>
      </c>
      <c r="Y1216">
        <v>2.1747449717652505E-3</v>
      </c>
    </row>
    <row r="1217" spans="1:25" x14ac:dyDescent="0.25">
      <c r="A1217" s="1096"/>
      <c r="B1217" s="1455">
        <v>967</v>
      </c>
      <c r="C1217" s="1100">
        <v>1.0253465998978504</v>
      </c>
      <c r="D1217" s="1100">
        <v>0.98897017795611686</v>
      </c>
      <c r="E1217" s="1100">
        <v>0.9987566248529508</v>
      </c>
      <c r="F1217" s="1100">
        <v>0.9895580572452285</v>
      </c>
      <c r="G1217" s="1100">
        <v>1.0356612276828934</v>
      </c>
      <c r="H1217" s="1100">
        <v>1.0087799672026989</v>
      </c>
      <c r="I1217" s="1100">
        <v>1.0183907472459723</v>
      </c>
      <c r="K1217">
        <v>1.1389660410222378</v>
      </c>
      <c r="L1217">
        <v>0</v>
      </c>
      <c r="M1217">
        <v>7.9337811165820728E-4</v>
      </c>
      <c r="N1217">
        <v>7.2735673469015327E-2</v>
      </c>
      <c r="O1217">
        <v>1.0137906878167584E-2</v>
      </c>
      <c r="P1217">
        <v>1.3419397070035317E-2</v>
      </c>
      <c r="Q1217">
        <v>4.3967019342772861E-4</v>
      </c>
      <c r="R1217">
        <v>7.9163626731166572E-4</v>
      </c>
      <c r="S1217">
        <v>7.3139445404484693E-2</v>
      </c>
      <c r="T1217">
        <v>0.81907252596601965</v>
      </c>
      <c r="U1217">
        <v>0</v>
      </c>
      <c r="V1217">
        <v>9.3007524632100602E-2</v>
      </c>
      <c r="W1217">
        <v>4.7817734269724896E-2</v>
      </c>
      <c r="X1217">
        <v>7.0433320268119756E-3</v>
      </c>
      <c r="Y1217">
        <v>2.1545729567969702E-3</v>
      </c>
    </row>
    <row r="1218" spans="1:25" x14ac:dyDescent="0.25">
      <c r="A1218" s="1096"/>
      <c r="B1218" s="1455">
        <v>968</v>
      </c>
      <c r="C1218" s="1100">
        <v>0.97038620415130139</v>
      </c>
      <c r="D1218" s="1100">
        <v>1.0303064776149515</v>
      </c>
      <c r="E1218" s="1100">
        <v>0.97997437121952991</v>
      </c>
      <c r="F1218" s="1100">
        <v>1.0117400627773092</v>
      </c>
      <c r="G1218" s="1100">
        <v>0.98059294010143871</v>
      </c>
      <c r="H1218" s="1100">
        <v>1.0448751578440723</v>
      </c>
      <c r="I1218" s="1100">
        <v>1.0051222493947127</v>
      </c>
      <c r="K1218">
        <v>1.1687848809273624</v>
      </c>
      <c r="L1218">
        <v>0</v>
      </c>
      <c r="M1218">
        <v>8.8808180032448332E-4</v>
      </c>
      <c r="N1218">
        <v>7.6928952442965284E-2</v>
      </c>
      <c r="O1218">
        <v>1.0531820940934845E-2</v>
      </c>
      <c r="P1218">
        <v>1.3521653449933823E-2</v>
      </c>
      <c r="Q1218">
        <v>4.4816134068482148E-4</v>
      </c>
      <c r="R1218">
        <v>8.8619939065911525E-4</v>
      </c>
      <c r="S1218">
        <v>7.6170824240251303E-2</v>
      </c>
      <c r="T1218">
        <v>0.83869753061769159</v>
      </c>
      <c r="U1218">
        <v>0</v>
      </c>
      <c r="V1218">
        <v>9.2018938894749047E-2</v>
      </c>
      <c r="W1218">
        <v>5.1147029376328132E-2</v>
      </c>
      <c r="X1218">
        <v>6.9099094276637105E-3</v>
      </c>
      <c r="Y1218">
        <v>2.4119426058234945E-3</v>
      </c>
    </row>
    <row r="1219" spans="1:25" x14ac:dyDescent="0.25">
      <c r="A1219" s="1096"/>
      <c r="B1219" s="1455">
        <v>969</v>
      </c>
      <c r="C1219" s="1100">
        <v>0.98937861196150634</v>
      </c>
      <c r="D1219" s="1100">
        <v>1.0397024481716324</v>
      </c>
      <c r="E1219" s="1100">
        <v>0.99563674603501839</v>
      </c>
      <c r="F1219" s="1100">
        <v>1.0123375141887325</v>
      </c>
      <c r="G1219" s="1100">
        <v>0.98557828214171006</v>
      </c>
      <c r="H1219" s="1100">
        <v>1.0317151209584396</v>
      </c>
      <c r="I1219" s="1100">
        <v>1.0148063446932918</v>
      </c>
      <c r="K1219">
        <v>1.1631825204701276</v>
      </c>
      <c r="L1219">
        <v>0</v>
      </c>
      <c r="M1219">
        <v>8.2960381208469934E-4</v>
      </c>
      <c r="N1219">
        <v>7.5346798479938096E-2</v>
      </c>
      <c r="O1219">
        <v>1.0297298244787817E-2</v>
      </c>
      <c r="P1219">
        <v>1.3649235233598908E-2</v>
      </c>
      <c r="Q1219">
        <v>4.4518235118768692E-4</v>
      </c>
      <c r="R1219">
        <v>8.2782292443874222E-4</v>
      </c>
      <c r="S1219">
        <v>7.4558538609425337E-2</v>
      </c>
      <c r="T1219">
        <v>0.83813682106002196</v>
      </c>
      <c r="U1219">
        <v>0</v>
      </c>
      <c r="V1219">
        <v>9.1744445094488369E-2</v>
      </c>
      <c r="W1219">
        <v>4.9626474573161092E-2</v>
      </c>
      <c r="X1219">
        <v>7.1264466025940968E-3</v>
      </c>
      <c r="Y1219">
        <v>2.2530611085685563E-3</v>
      </c>
    </row>
    <row r="1220" spans="1:25" x14ac:dyDescent="0.25">
      <c r="A1220" s="1096"/>
      <c r="B1220" s="1455">
        <v>970</v>
      </c>
      <c r="C1220" s="1100">
        <v>0.97596630433770948</v>
      </c>
      <c r="D1220" s="1100">
        <v>1.0170744141222938</v>
      </c>
      <c r="E1220" s="1100">
        <v>0.97758651681596243</v>
      </c>
      <c r="F1220" s="1100">
        <v>0.95450139112327759</v>
      </c>
      <c r="G1220" s="1100">
        <v>0.98197438618307775</v>
      </c>
      <c r="H1220" s="1100">
        <v>1.0256445092432971</v>
      </c>
      <c r="I1220" s="1100">
        <v>0.99047562793893607</v>
      </c>
      <c r="K1220">
        <v>1.1159120828193776</v>
      </c>
      <c r="L1220">
        <v>0</v>
      </c>
      <c r="M1220">
        <v>8.7555742923215937E-4</v>
      </c>
      <c r="N1220">
        <v>7.5295011001493467E-2</v>
      </c>
      <c r="O1220">
        <v>1.0525095146713669E-2</v>
      </c>
      <c r="P1220">
        <v>1.2837398285183632E-2</v>
      </c>
      <c r="Q1220">
        <v>4.4678872161404645E-4</v>
      </c>
      <c r="R1220">
        <v>8.7366676958111362E-4</v>
      </c>
      <c r="S1220">
        <v>7.433402633960387E-2</v>
      </c>
      <c r="T1220">
        <v>0.79140111066552987</v>
      </c>
      <c r="U1220">
        <v>0</v>
      </c>
      <c r="V1220">
        <v>9.1931676636799298E-2</v>
      </c>
      <c r="W1220">
        <v>5.0132987695613848E-2</v>
      </c>
      <c r="X1220">
        <v>6.6320460438484474E-3</v>
      </c>
      <c r="Y1220">
        <v>2.3778329426266016E-3</v>
      </c>
    </row>
    <row r="1221" spans="1:25" x14ac:dyDescent="0.25">
      <c r="A1221" s="1096"/>
      <c r="B1221" s="1455">
        <v>971</v>
      </c>
      <c r="C1221" s="1100">
        <v>0.98694961025644978</v>
      </c>
      <c r="D1221" s="1100">
        <v>1.0111856402500696</v>
      </c>
      <c r="E1221" s="1100">
        <v>0.97916753753969565</v>
      </c>
      <c r="F1221" s="1100">
        <v>0.98185977753045295</v>
      </c>
      <c r="G1221" s="1100">
        <v>0.95892952219101479</v>
      </c>
      <c r="H1221" s="1100">
        <v>1.0174543442484305</v>
      </c>
      <c r="I1221" s="1100">
        <v>0.96571413650235838</v>
      </c>
      <c r="K1221">
        <v>1.1327013402744672</v>
      </c>
      <c r="L1221">
        <v>0</v>
      </c>
      <c r="M1221">
        <v>8.580880510458092E-4</v>
      </c>
      <c r="N1221">
        <v>7.4145296356618706E-2</v>
      </c>
      <c r="O1221">
        <v>1.0432689036990574E-2</v>
      </c>
      <c r="P1221">
        <v>1.3101546608150305E-2</v>
      </c>
      <c r="Q1221">
        <v>4.4357897427647024E-4</v>
      </c>
      <c r="R1221">
        <v>8.5622019887331472E-4</v>
      </c>
      <c r="S1221">
        <v>7.1559631566551499E-2</v>
      </c>
      <c r="T1221">
        <v>0.81398077830436633</v>
      </c>
      <c r="U1221">
        <v>0</v>
      </c>
      <c r="V1221">
        <v>9.0663869119511145E-2</v>
      </c>
      <c r="W1221">
        <v>4.9320316561490184E-2</v>
      </c>
      <c r="X1221">
        <v>6.7251524702638156E-3</v>
      </c>
      <c r="Y1221">
        <v>2.3303491284204616E-3</v>
      </c>
    </row>
    <row r="1222" spans="1:25" x14ac:dyDescent="0.25">
      <c r="A1222" s="1096"/>
      <c r="B1222" s="1455">
        <v>972</v>
      </c>
      <c r="C1222" s="1100">
        <v>1.0144862913374002</v>
      </c>
      <c r="D1222" s="1100">
        <v>1.0386172846916302</v>
      </c>
      <c r="E1222" s="1100">
        <v>0.97748414904404979</v>
      </c>
      <c r="F1222" s="1100">
        <v>0.99093265329613411</v>
      </c>
      <c r="G1222" s="1100">
        <v>1.0070964635409985</v>
      </c>
      <c r="H1222" s="1100">
        <v>0.98675209976462208</v>
      </c>
      <c r="I1222" s="1100">
        <v>1.016929442624142</v>
      </c>
      <c r="K1222">
        <v>1.1323307897809991</v>
      </c>
      <c r="L1222">
        <v>0</v>
      </c>
      <c r="M1222">
        <v>8.0377638855332295E-4</v>
      </c>
      <c r="N1222">
        <v>6.9094777837081123E-2</v>
      </c>
      <c r="O1222">
        <v>1.0040888463613376E-2</v>
      </c>
      <c r="P1222">
        <v>1.3199069843829538E-2</v>
      </c>
      <c r="Q1222">
        <v>4.2618981332338411E-4</v>
      </c>
      <c r="R1222">
        <v>8.019723211356223E-4</v>
      </c>
      <c r="S1222">
        <v>7.1077524986894319E-2</v>
      </c>
      <c r="T1222">
        <v>0.82161397596770724</v>
      </c>
      <c r="U1222">
        <v>0</v>
      </c>
      <c r="V1222">
        <v>9.2042252934612559E-2</v>
      </c>
      <c r="W1222">
        <v>4.6007592521462144E-2</v>
      </c>
      <c r="X1222">
        <v>6.6476171918669795E-3</v>
      </c>
      <c r="Y1222">
        <v>2.1827042880265524E-3</v>
      </c>
    </row>
    <row r="1223" spans="1:25" x14ac:dyDescent="0.25">
      <c r="A1223" s="1096"/>
      <c r="B1223" s="1455">
        <v>973</v>
      </c>
      <c r="C1223" s="1100">
        <v>1.0038408869384838</v>
      </c>
      <c r="D1223" s="1100">
        <v>1.0156381681398365</v>
      </c>
      <c r="E1223" s="1100">
        <v>1.0228952496116444</v>
      </c>
      <c r="F1223" s="1100">
        <v>1.0149167951609379</v>
      </c>
      <c r="G1223" s="1100">
        <v>0.98017312540669377</v>
      </c>
      <c r="H1223" s="1100">
        <v>1.0379393933530991</v>
      </c>
      <c r="I1223" s="1100">
        <v>0.99726701222028213</v>
      </c>
      <c r="K1223">
        <v>1.1648506158326972</v>
      </c>
      <c r="L1223">
        <v>0</v>
      </c>
      <c r="M1223">
        <v>7.8461670736633047E-4</v>
      </c>
      <c r="N1223">
        <v>7.7374652473999106E-2</v>
      </c>
      <c r="O1223">
        <v>1.0253302288612834E-2</v>
      </c>
      <c r="P1223">
        <v>1.3907235417170306E-2</v>
      </c>
      <c r="Q1223">
        <v>4.5553034565527637E-4</v>
      </c>
      <c r="R1223">
        <v>7.8294249273011182E-4</v>
      </c>
      <c r="S1223">
        <v>7.3365306516705364E-2</v>
      </c>
      <c r="T1223">
        <v>0.83844900949855683</v>
      </c>
      <c r="U1223">
        <v>0</v>
      </c>
      <c r="V1223">
        <v>9.1157063655120218E-2</v>
      </c>
      <c r="W1223">
        <v>5.0149015365343809E-2</v>
      </c>
      <c r="X1223">
        <v>7.6102631178813374E-3</v>
      </c>
      <c r="Y1223">
        <v>2.1309113682880013E-3</v>
      </c>
    </row>
    <row r="1224" spans="1:25" x14ac:dyDescent="0.25">
      <c r="A1224" s="1096"/>
      <c r="B1224" s="1455">
        <v>974</v>
      </c>
      <c r="C1224" s="1100">
        <v>1.0157447236043158</v>
      </c>
      <c r="D1224" s="1100">
        <v>0.99983817046805179</v>
      </c>
      <c r="E1224" s="1100">
        <v>1.0113650823570579</v>
      </c>
      <c r="F1224" s="1100">
        <v>1.0147990293607154</v>
      </c>
      <c r="G1224" s="1100">
        <v>0.97191104827072261</v>
      </c>
      <c r="H1224" s="1100">
        <v>0.99360666550555266</v>
      </c>
      <c r="I1224" s="1100">
        <v>0.98430774700565105</v>
      </c>
      <c r="K1224">
        <v>1.1542238781105885</v>
      </c>
      <c r="L1224">
        <v>0</v>
      </c>
      <c r="M1224">
        <v>7.6510042821165472E-4</v>
      </c>
      <c r="N1224">
        <v>7.2863239704385616E-2</v>
      </c>
      <c r="O1224">
        <v>1.0193165930977938E-2</v>
      </c>
      <c r="P1224">
        <v>1.3749020029285993E-2</v>
      </c>
      <c r="Q1224">
        <v>4.476891777808086E-4</v>
      </c>
      <c r="R1224">
        <v>7.6339501537870237E-4</v>
      </c>
      <c r="S1224">
        <v>7.037707144428848E-2</v>
      </c>
      <c r="T1224">
        <v>0.83911987402316168</v>
      </c>
      <c r="U1224">
        <v>0</v>
      </c>
      <c r="V1224">
        <v>9.0512507153702348E-2</v>
      </c>
      <c r="W1224">
        <v>4.7545394513608431E-2</v>
      </c>
      <c r="X1224">
        <v>7.3399119674681153E-3</v>
      </c>
      <c r="Y1224">
        <v>2.0777095787616415E-3</v>
      </c>
    </row>
    <row r="1225" spans="1:25" x14ac:dyDescent="0.25">
      <c r="A1225" s="1096"/>
      <c r="B1225" s="1455">
        <v>975</v>
      </c>
      <c r="C1225" s="1100">
        <v>1.0169222302539209</v>
      </c>
      <c r="D1225" s="1100">
        <v>1.0031551100488401</v>
      </c>
      <c r="E1225" s="1100">
        <v>1.0260859199901702</v>
      </c>
      <c r="F1225" s="1100">
        <v>0.98726710625074843</v>
      </c>
      <c r="G1225" s="1100">
        <v>1.0107678743550272</v>
      </c>
      <c r="H1225" s="1100">
        <v>1.0353707139036874</v>
      </c>
      <c r="I1225" s="1100">
        <v>1.0125265285727572</v>
      </c>
      <c r="K1225">
        <v>1.141822357576862</v>
      </c>
      <c r="L1225">
        <v>0</v>
      </c>
      <c r="M1225">
        <v>7.7129735243484433E-4</v>
      </c>
      <c r="N1225">
        <v>7.6796185481026236E-2</v>
      </c>
      <c r="O1225">
        <v>1.0172629386270072E-2</v>
      </c>
      <c r="P1225">
        <v>1.3640567795945555E-2</v>
      </c>
      <c r="Q1225">
        <v>4.5337853170197292E-4</v>
      </c>
      <c r="R1225">
        <v>7.6964747553504422E-4</v>
      </c>
      <c r="S1225">
        <v>7.3895467024169437E-2</v>
      </c>
      <c r="T1225">
        <v>0.8154008387312347</v>
      </c>
      <c r="U1225">
        <v>0</v>
      </c>
      <c r="V1225">
        <v>9.214744009563347E-2</v>
      </c>
      <c r="W1225">
        <v>4.9681591688021824E-2</v>
      </c>
      <c r="X1225">
        <v>7.54118200557366E-3</v>
      </c>
      <c r="Y1225">
        <v>2.0947267141842676E-3</v>
      </c>
    </row>
    <row r="1226" spans="1:25" x14ac:dyDescent="0.25">
      <c r="A1226" s="1096"/>
      <c r="B1226" s="1455">
        <v>976</v>
      </c>
      <c r="C1226" s="1100">
        <v>1.0023235392678553</v>
      </c>
      <c r="D1226" s="1100">
        <v>1.0105592311451785</v>
      </c>
      <c r="E1226" s="1100">
        <v>1.0460798026538509</v>
      </c>
      <c r="F1226" s="1100">
        <v>1.0134364165616641</v>
      </c>
      <c r="G1226" s="1100">
        <v>1.021325401489918</v>
      </c>
      <c r="H1226" s="1100">
        <v>1.002734005936655</v>
      </c>
      <c r="I1226" s="1100">
        <v>0.99476078236543319</v>
      </c>
      <c r="K1226">
        <v>1.161244842604255</v>
      </c>
      <c r="L1226">
        <v>0</v>
      </c>
      <c r="M1226">
        <v>7.2477610102942322E-4</v>
      </c>
      <c r="N1226">
        <v>7.6640079957404711E-2</v>
      </c>
      <c r="O1226">
        <v>1.0297014784408561E-2</v>
      </c>
      <c r="P1226">
        <v>1.4111371115724771E-2</v>
      </c>
      <c r="Q1226">
        <v>4.6805361483625337E-4</v>
      </c>
      <c r="R1226">
        <v>7.2317527661663677E-4</v>
      </c>
      <c r="S1226">
        <v>7.2090615883791662E-2</v>
      </c>
      <c r="T1226">
        <v>0.83569674285969453</v>
      </c>
      <c r="U1226">
        <v>0</v>
      </c>
      <c r="V1226">
        <v>9.2957005912399998E-2</v>
      </c>
      <c r="W1226">
        <v>4.9011197788490779E-2</v>
      </c>
      <c r="X1226">
        <v>8.0061168036312854E-3</v>
      </c>
      <c r="Y1226">
        <v>1.9682447082846185E-3</v>
      </c>
    </row>
    <row r="1227" spans="1:25" x14ac:dyDescent="0.25">
      <c r="A1227" s="1096"/>
      <c r="B1227" s="1455">
        <v>977</v>
      </c>
      <c r="C1227" s="1100">
        <v>0.97523015302475735</v>
      </c>
      <c r="D1227" s="1100">
        <v>1.0128431542982168</v>
      </c>
      <c r="E1227" s="1100">
        <v>1.0055198038923598</v>
      </c>
      <c r="F1227" s="1100">
        <v>1.0268497046914167</v>
      </c>
      <c r="G1227" s="1100">
        <v>1.0035690716805252</v>
      </c>
      <c r="H1227" s="1100">
        <v>0.99107425999975673</v>
      </c>
      <c r="I1227" s="1100">
        <v>0.96560117255407429</v>
      </c>
      <c r="K1227">
        <v>1.1720731931804973</v>
      </c>
      <c r="L1227">
        <v>0</v>
      </c>
      <c r="M1227">
        <v>8.0041504549101868E-4</v>
      </c>
      <c r="N1227">
        <v>7.4892439304645203E-2</v>
      </c>
      <c r="O1227">
        <v>1.0559933600987954E-2</v>
      </c>
      <c r="P1227">
        <v>1.3876769871172305E-2</v>
      </c>
      <c r="Q1227">
        <v>4.6109334031961438E-4</v>
      </c>
      <c r="R1227">
        <v>7.9862635736272912E-4</v>
      </c>
      <c r="S1227">
        <v>7.1323809237945346E-2</v>
      </c>
      <c r="T1227">
        <v>0.84948010430558141</v>
      </c>
      <c r="U1227">
        <v>0</v>
      </c>
      <c r="V1227">
        <v>9.287859855101481E-2</v>
      </c>
      <c r="W1227">
        <v>4.9038449443063806E-2</v>
      </c>
      <c r="X1227">
        <v>7.3901865362603798E-3</v>
      </c>
      <c r="Y1227">
        <v>2.1735976776333988E-3</v>
      </c>
    </row>
    <row r="1228" spans="1:25" x14ac:dyDescent="0.25">
      <c r="A1228" s="1096"/>
      <c r="B1228" s="1455">
        <v>978</v>
      </c>
      <c r="C1228" s="1100">
        <v>0.9974171552532024</v>
      </c>
      <c r="D1228" s="1100">
        <v>1.0115478193776115</v>
      </c>
      <c r="E1228" s="1100">
        <v>1.0120381803054639</v>
      </c>
      <c r="F1228" s="1100">
        <v>0.98242435317890675</v>
      </c>
      <c r="G1228" s="1100">
        <v>0.99167406315659301</v>
      </c>
      <c r="H1228" s="1100">
        <v>1.0066590259973163</v>
      </c>
      <c r="I1228" s="1100">
        <v>0.96271017613335075</v>
      </c>
      <c r="K1228">
        <v>1.1316112848026543</v>
      </c>
      <c r="L1228">
        <v>0</v>
      </c>
      <c r="M1228">
        <v>7.8462824884080061E-4</v>
      </c>
      <c r="N1228">
        <v>7.4877090937847487E-2</v>
      </c>
      <c r="O1228">
        <v>1.0332452352342999E-2</v>
      </c>
      <c r="P1228">
        <v>1.3402322930639849E-2</v>
      </c>
      <c r="Q1228">
        <v>4.5411187224143879E-4</v>
      </c>
      <c r="R1228">
        <v>7.8290198518993833E-4</v>
      </c>
      <c r="S1228">
        <v>7.019078689147154E-2</v>
      </c>
      <c r="T1228">
        <v>0.81230628240644887</v>
      </c>
      <c r="U1228">
        <v>0</v>
      </c>
      <c r="V1228">
        <v>9.180581671912344E-2</v>
      </c>
      <c r="W1228">
        <v>4.8840128336267816E-2</v>
      </c>
      <c r="X1228">
        <v>7.2732174998047898E-3</v>
      </c>
      <c r="Y1228">
        <v>2.1308011201169566E-3</v>
      </c>
    </row>
    <row r="1229" spans="1:25" x14ac:dyDescent="0.25">
      <c r="A1229" s="1096"/>
      <c r="B1229" s="1455">
        <v>979</v>
      </c>
      <c r="C1229" s="1100">
        <v>1.009782845403046</v>
      </c>
      <c r="D1229" s="1100">
        <v>0.99170674848808416</v>
      </c>
      <c r="E1229" s="1100">
        <v>1.008288515891981</v>
      </c>
      <c r="F1229" s="1100">
        <v>0.99471859034219823</v>
      </c>
      <c r="G1229" s="1100">
        <v>0.9887153924781239</v>
      </c>
      <c r="H1229" s="1100">
        <v>1.0210636970890923</v>
      </c>
      <c r="I1229" s="1100">
        <v>0.96948128383760923</v>
      </c>
      <c r="K1229">
        <v>1.143465961585969</v>
      </c>
      <c r="L1229">
        <v>0</v>
      </c>
      <c r="M1229">
        <v>7.9856027818464624E-4</v>
      </c>
      <c r="N1229">
        <v>7.5351166872604736E-2</v>
      </c>
      <c r="O1229">
        <v>1.0285891791099759E-2</v>
      </c>
      <c r="P1229">
        <v>1.3514426420803721E-2</v>
      </c>
      <c r="Q1229">
        <v>4.5037437467391859E-4</v>
      </c>
      <c r="R1229">
        <v>7.9682814833411937E-4</v>
      </c>
      <c r="S1229">
        <v>7.1092155436239077E-2</v>
      </c>
      <c r="T1229">
        <v>0.8227173374424902</v>
      </c>
      <c r="U1229">
        <v>0</v>
      </c>
      <c r="V1229">
        <v>9.1374410498007388E-2</v>
      </c>
      <c r="W1229">
        <v>4.9258133941800702E-2</v>
      </c>
      <c r="X1229">
        <v>7.2550933926633027E-3</v>
      </c>
      <c r="Y1229">
        <v>2.1687035454369696E-3</v>
      </c>
    </row>
    <row r="1230" spans="1:25" x14ac:dyDescent="0.25">
      <c r="A1230" s="1096"/>
      <c r="B1230" s="1455">
        <v>980</v>
      </c>
      <c r="C1230" s="1100">
        <v>0.99239302564412113</v>
      </c>
      <c r="D1230" s="1100">
        <v>1.0296994758566986</v>
      </c>
      <c r="E1230" s="1100">
        <v>1.0024564992904341</v>
      </c>
      <c r="F1230" s="1100">
        <v>0.99742639163746505</v>
      </c>
      <c r="G1230" s="1100">
        <v>1.0417221994300587</v>
      </c>
      <c r="H1230" s="1100">
        <v>1.0240472735510671</v>
      </c>
      <c r="I1230" s="1100">
        <v>1.0257018002833005</v>
      </c>
      <c r="K1230">
        <v>1.1530990107191326</v>
      </c>
      <c r="L1230">
        <v>0</v>
      </c>
      <c r="M1230">
        <v>8.1254320587027839E-4</v>
      </c>
      <c r="N1230">
        <v>7.5332492652198033E-2</v>
      </c>
      <c r="O1230">
        <v>1.0308018569363378E-2</v>
      </c>
      <c r="P1230">
        <v>1.3584685434625831E-2</v>
      </c>
      <c r="Q1230">
        <v>4.487128786525557E-4</v>
      </c>
      <c r="R1230">
        <v>8.1078588108025114E-4</v>
      </c>
      <c r="S1230">
        <v>7.5191423679985797E-2</v>
      </c>
      <c r="T1230">
        <v>0.82534102180922664</v>
      </c>
      <c r="U1230">
        <v>0</v>
      </c>
      <c r="V1230">
        <v>9.4069707337472455E-2</v>
      </c>
      <c r="W1230">
        <v>4.9416195876617421E-2</v>
      </c>
      <c r="X1230">
        <v>7.2018179129719985E-3</v>
      </c>
      <c r="Y1230">
        <v>2.2066918928065776E-3</v>
      </c>
    </row>
    <row r="1231" spans="1:25" x14ac:dyDescent="0.25">
      <c r="A1231" s="1096"/>
      <c r="B1231" s="1455">
        <v>981</v>
      </c>
      <c r="C1231" s="1100">
        <v>1.0019071192477906</v>
      </c>
      <c r="D1231" s="1100">
        <v>1.0287599051969794</v>
      </c>
      <c r="E1231" s="1100">
        <v>1.0262337846852645</v>
      </c>
      <c r="F1231" s="1100">
        <v>1.0043415169408374</v>
      </c>
      <c r="G1231" s="1100">
        <v>0.99891604039962822</v>
      </c>
      <c r="H1231" s="1100">
        <v>1.0164130818100938</v>
      </c>
      <c r="I1231" s="1100">
        <v>0.98384796949063669</v>
      </c>
      <c r="K1231">
        <v>1.1515986149743631</v>
      </c>
      <c r="L1231">
        <v>0</v>
      </c>
      <c r="M1231">
        <v>7.6057907965027926E-4</v>
      </c>
      <c r="N1231">
        <v>7.5759737287523318E-2</v>
      </c>
      <c r="O1231">
        <v>1.0221559530382392E-2</v>
      </c>
      <c r="P1231">
        <v>1.3798390033599117E-2</v>
      </c>
      <c r="Q1231">
        <v>4.5562601845809268E-4</v>
      </c>
      <c r="R1231">
        <v>7.5892178508011211E-4</v>
      </c>
      <c r="S1231">
        <v>7.1197475945815977E-2</v>
      </c>
      <c r="T1231">
        <v>0.8294931814735641</v>
      </c>
      <c r="U1231">
        <v>0</v>
      </c>
      <c r="V1231">
        <v>9.200634095593184E-2</v>
      </c>
      <c r="W1231">
        <v>4.9006865248932108E-2</v>
      </c>
      <c r="X1231">
        <v>7.595560854235431E-3</v>
      </c>
      <c r="Y1231">
        <v>2.0655349204888509E-3</v>
      </c>
    </row>
    <row r="1232" spans="1:25" x14ac:dyDescent="0.25">
      <c r="A1232" s="1096"/>
      <c r="B1232" s="1455">
        <v>982</v>
      </c>
      <c r="C1232" s="1100">
        <v>0.99041392573480835</v>
      </c>
      <c r="D1232" s="1100">
        <v>0.96448987272716302</v>
      </c>
      <c r="E1232" s="1100">
        <v>1.0029419251161347</v>
      </c>
      <c r="F1232" s="1100">
        <v>1.0258308353453101</v>
      </c>
      <c r="G1232" s="1100">
        <v>1.0019914009888982</v>
      </c>
      <c r="H1232" s="1100">
        <v>1.0316807517495299</v>
      </c>
      <c r="I1232" s="1100">
        <v>1.0287705723063703</v>
      </c>
      <c r="K1232">
        <v>1.1837018122950966</v>
      </c>
      <c r="L1232">
        <v>0</v>
      </c>
      <c r="M1232">
        <v>8.411363379047732E-4</v>
      </c>
      <c r="N1232">
        <v>7.8099100916343617E-2</v>
      </c>
      <c r="O1232">
        <v>1.0602638517026659E-2</v>
      </c>
      <c r="P1232">
        <v>1.3932515329391999E-2</v>
      </c>
      <c r="Q1232">
        <v>4.617627445009135E-4</v>
      </c>
      <c r="R1232">
        <v>8.3933063355051045E-4</v>
      </c>
      <c r="S1232">
        <v>7.8468728230512291E-2</v>
      </c>
      <c r="T1232">
        <v>0.84881193999080451</v>
      </c>
      <c r="U1232">
        <v>0</v>
      </c>
      <c r="V1232">
        <v>9.2421128597798219E-2</v>
      </c>
      <c r="W1232">
        <v>5.1216273300789414E-2</v>
      </c>
      <c r="X1232">
        <v>7.4051490730262402E-3</v>
      </c>
      <c r="Y1232">
        <v>2.2843812992555004E-3</v>
      </c>
    </row>
    <row r="1233" spans="1:25" x14ac:dyDescent="0.25">
      <c r="A1233" s="1096"/>
      <c r="B1233" s="1455">
        <v>983</v>
      </c>
      <c r="C1233" s="1100">
        <v>0.97411316900353717</v>
      </c>
      <c r="D1233" s="1100">
        <v>0.9774741765985504</v>
      </c>
      <c r="E1233" s="1100">
        <v>1.0007933059324468</v>
      </c>
      <c r="F1233" s="1100">
        <v>0.98049267990805333</v>
      </c>
      <c r="G1233" s="1100">
        <v>1.0046617624352956</v>
      </c>
      <c r="H1233" s="1100">
        <v>1.0247171573692655</v>
      </c>
      <c r="I1233" s="1100">
        <v>1.0193542524340877</v>
      </c>
      <c r="K1233">
        <v>1.1464052336636379</v>
      </c>
      <c r="L1233">
        <v>0</v>
      </c>
      <c r="M1233">
        <v>8.4868302455739348E-4</v>
      </c>
      <c r="N1233">
        <v>7.8288864579029019E-2</v>
      </c>
      <c r="O1233">
        <v>1.0721824950497073E-2</v>
      </c>
      <c r="P1233">
        <v>1.3404195094654426E-2</v>
      </c>
      <c r="Q1233">
        <v>4.6594714017023564E-4</v>
      </c>
      <c r="R1233">
        <v>8.4684873841338099E-4</v>
      </c>
      <c r="S1233">
        <v>7.8210123337078288E-2</v>
      </c>
      <c r="T1233">
        <v>0.81143675058393949</v>
      </c>
      <c r="U1233">
        <v>0</v>
      </c>
      <c r="V1233">
        <v>9.2953699122835146E-2</v>
      </c>
      <c r="W1233">
        <v>5.1406225985709833E-2</v>
      </c>
      <c r="X1233">
        <v>7.2145940535190099E-3</v>
      </c>
      <c r="Y1233">
        <v>2.3048431023496318E-3</v>
      </c>
    </row>
    <row r="1234" spans="1:25" x14ac:dyDescent="0.25">
      <c r="A1234" s="1096"/>
      <c r="B1234" s="1455">
        <v>984</v>
      </c>
      <c r="C1234" s="1100">
        <v>0.99106313273446489</v>
      </c>
      <c r="D1234" s="1100">
        <v>0.97581506396309703</v>
      </c>
      <c r="E1234" s="1100">
        <v>0.98026385785165615</v>
      </c>
      <c r="F1234" s="1100">
        <v>1.0310362635167263</v>
      </c>
      <c r="G1234" s="1100">
        <v>1.007296471187042</v>
      </c>
      <c r="H1234" s="1100">
        <v>1.0188376900528378</v>
      </c>
      <c r="I1234" s="1100">
        <v>0.96731967688470066</v>
      </c>
      <c r="K1234">
        <v>1.1790489763045409</v>
      </c>
      <c r="L1234">
        <v>0</v>
      </c>
      <c r="M1234">
        <v>8.6599713330985683E-4</v>
      </c>
      <c r="N1234">
        <v>7.5077554318645726E-2</v>
      </c>
      <c r="O1234">
        <v>1.0538778825734936E-2</v>
      </c>
      <c r="P1234">
        <v>1.3701401682690843E-2</v>
      </c>
      <c r="Q1234">
        <v>4.4858938197305962E-4</v>
      </c>
      <c r="R1234">
        <v>8.6411462444610087E-4</v>
      </c>
      <c r="S1234">
        <v>7.2752135139928759E-2</v>
      </c>
      <c r="T1234">
        <v>0.85467346158807589</v>
      </c>
      <c r="U1234">
        <v>0</v>
      </c>
      <c r="V1234">
        <v>9.2628326698254299E-2</v>
      </c>
      <c r="W1234">
        <v>4.9907384021837822E-2</v>
      </c>
      <c r="X1234">
        <v>6.9713920038300898E-3</v>
      </c>
      <c r="Y1234">
        <v>2.3518351524328936E-3</v>
      </c>
    </row>
    <row r="1235" spans="1:25" x14ac:dyDescent="0.25">
      <c r="A1235" s="1096"/>
      <c r="B1235" s="1455">
        <v>985</v>
      </c>
      <c r="C1235" s="1100">
        <v>0.98515972362693183</v>
      </c>
      <c r="D1235" s="1100">
        <v>0.99508531830211255</v>
      </c>
      <c r="E1235" s="1100">
        <v>1.0475354320055861</v>
      </c>
      <c r="F1235" s="1100">
        <v>0.99991465160759074</v>
      </c>
      <c r="G1235" s="1100">
        <v>0.97952320497371281</v>
      </c>
      <c r="H1235" s="1100">
        <v>1.0077274873924451</v>
      </c>
      <c r="I1235" s="1100">
        <v>1.0124027815712064</v>
      </c>
      <c r="K1235">
        <v>1.1560148421915379</v>
      </c>
      <c r="L1235">
        <v>0</v>
      </c>
      <c r="M1235">
        <v>7.4339995032953647E-4</v>
      </c>
      <c r="N1235">
        <v>7.8955567542088365E-2</v>
      </c>
      <c r="O1235">
        <v>1.0541764274796181E-2</v>
      </c>
      <c r="P1235">
        <v>1.3995762312902036E-2</v>
      </c>
      <c r="Q1235">
        <v>4.7986256030355866E-4</v>
      </c>
      <c r="R1235">
        <v>7.4176612734716855E-4</v>
      </c>
      <c r="S1235">
        <v>7.5451871940483695E-2</v>
      </c>
      <c r="T1235">
        <v>0.82445231467107594</v>
      </c>
      <c r="U1235">
        <v>0</v>
      </c>
      <c r="V1235">
        <v>9.1602436631066611E-2</v>
      </c>
      <c r="W1235">
        <v>5.044986006122807E-2</v>
      </c>
      <c r="X1235">
        <v>8.0681931450741189E-3</v>
      </c>
      <c r="Y1235">
        <v>2.0188428755008297E-3</v>
      </c>
    </row>
    <row r="1236" spans="1:25" x14ac:dyDescent="0.25">
      <c r="A1236" s="1096"/>
      <c r="B1236" s="1455">
        <v>986</v>
      </c>
      <c r="C1236" s="1100">
        <v>0.96930658437255901</v>
      </c>
      <c r="D1236" s="1100">
        <v>1.029699549691834</v>
      </c>
      <c r="E1236" s="1100">
        <v>0.98903024681183871</v>
      </c>
      <c r="F1236" s="1100">
        <v>0.97913030735549433</v>
      </c>
      <c r="G1236" s="1100">
        <v>1.0158610985951542</v>
      </c>
      <c r="H1236" s="1100">
        <v>0.98616466570000516</v>
      </c>
      <c r="I1236" s="1100">
        <v>0.95716875738544904</v>
      </c>
      <c r="K1236">
        <v>1.1300927851358415</v>
      </c>
      <c r="L1236">
        <v>0</v>
      </c>
      <c r="M1236">
        <v>8.237312935020758E-4</v>
      </c>
      <c r="N1236">
        <v>7.3326882283044473E-2</v>
      </c>
      <c r="O1236">
        <v>1.0549051520220586E-2</v>
      </c>
      <c r="P1236">
        <v>1.3182869238600002E-2</v>
      </c>
      <c r="Q1236">
        <v>4.5303500055364769E-4</v>
      </c>
      <c r="R1236">
        <v>8.2188133619777947E-4</v>
      </c>
      <c r="S1236">
        <v>7.0319197377193443E-2</v>
      </c>
      <c r="T1236">
        <v>0.81107369284286379</v>
      </c>
      <c r="U1236">
        <v>0</v>
      </c>
      <c r="V1236">
        <v>9.35569253849316E-2</v>
      </c>
      <c r="W1236">
        <v>4.8487241697099087E-2</v>
      </c>
      <c r="X1236">
        <v>6.9088496846187904E-3</v>
      </c>
      <c r="Y1236">
        <v>2.2368900640206925E-3</v>
      </c>
    </row>
    <row r="1237" spans="1:25" x14ac:dyDescent="0.25">
      <c r="A1237" s="1096"/>
      <c r="B1237" s="1455">
        <v>987</v>
      </c>
      <c r="C1237" s="1100">
        <v>0.99196007934563868</v>
      </c>
      <c r="D1237" s="1100">
        <v>1.0209143954582143</v>
      </c>
      <c r="E1237" s="1100">
        <v>0.96759681231153305</v>
      </c>
      <c r="F1237" s="1100">
        <v>1.0165367669276313</v>
      </c>
      <c r="G1237" s="1100">
        <v>0.95891580981357061</v>
      </c>
      <c r="H1237" s="1100">
        <v>0.98452424865406807</v>
      </c>
      <c r="I1237" s="1100">
        <v>0.96386901510584</v>
      </c>
      <c r="K1237">
        <v>1.1539185290187592</v>
      </c>
      <c r="L1237">
        <v>0</v>
      </c>
      <c r="M1237">
        <v>8.4286990403565146E-4</v>
      </c>
      <c r="N1237">
        <v>7.0318395227226035E-2</v>
      </c>
      <c r="O1237">
        <v>1.0336542770369703E-2</v>
      </c>
      <c r="P1237">
        <v>1.3348587322669449E-2</v>
      </c>
      <c r="Q1237">
        <v>4.3433379287075897E-4</v>
      </c>
      <c r="R1237">
        <v>8.4097381071803856E-4</v>
      </c>
      <c r="S1237">
        <v>6.9411231176585902E-2</v>
      </c>
      <c r="T1237">
        <v>0.84351750890920663</v>
      </c>
      <c r="U1237">
        <v>0</v>
      </c>
      <c r="V1237">
        <v>9.053465495506148E-2</v>
      </c>
      <c r="W1237">
        <v>4.7104397911442442E-2</v>
      </c>
      <c r="X1237">
        <v>6.6259195608105352E-3</v>
      </c>
      <c r="Y1237">
        <v>2.2888534858323041E-3</v>
      </c>
    </row>
    <row r="1238" spans="1:25" x14ac:dyDescent="0.25">
      <c r="A1238" s="1096"/>
      <c r="B1238" s="1455">
        <v>988</v>
      </c>
      <c r="C1238" s="1100">
        <v>0.99790643564233494</v>
      </c>
      <c r="D1238" s="1100">
        <v>1.0144180206571312</v>
      </c>
      <c r="E1238" s="1100">
        <v>1.0143827356978934</v>
      </c>
      <c r="F1238" s="1100">
        <v>0.99754336080198636</v>
      </c>
      <c r="G1238" s="1100">
        <v>1.0088903026078706</v>
      </c>
      <c r="H1238" s="1100">
        <v>1.0027403338343683</v>
      </c>
      <c r="I1238" s="1100">
        <v>1.0126702805619365</v>
      </c>
      <c r="K1238">
        <v>1.1478706779153309</v>
      </c>
      <c r="L1238">
        <v>0</v>
      </c>
      <c r="M1238">
        <v>7.7651244043325219E-4</v>
      </c>
      <c r="N1238">
        <v>7.4628205954223273E-2</v>
      </c>
      <c r="O1238">
        <v>1.0316454341589851E-2</v>
      </c>
      <c r="P1238">
        <v>1.3651712789295561E-2</v>
      </c>
      <c r="Q1238">
        <v>4.5447077809709511E-4</v>
      </c>
      <c r="R1238">
        <v>7.7479735597440775E-4</v>
      </c>
      <c r="S1238">
        <v>7.3531948603969319E-2</v>
      </c>
      <c r="T1238">
        <v>0.82465342172357647</v>
      </c>
      <c r="U1238">
        <v>0</v>
      </c>
      <c r="V1238">
        <v>9.2529912061324951E-2</v>
      </c>
      <c r="W1238">
        <v>4.8610705760865291E-2</v>
      </c>
      <c r="X1238">
        <v>7.3868179957647193E-3</v>
      </c>
      <c r="Y1238">
        <v>2.1087429910825852E-3</v>
      </c>
    </row>
    <row r="1239" spans="1:25" x14ac:dyDescent="0.25">
      <c r="A1239" s="1096"/>
      <c r="B1239" s="1455">
        <v>989</v>
      </c>
      <c r="C1239" s="1100">
        <v>1.0126519230330924</v>
      </c>
      <c r="D1239" s="1100">
        <v>1.0125276800557708</v>
      </c>
      <c r="E1239" s="1100">
        <v>1.0042398137150996</v>
      </c>
      <c r="F1239" s="1100">
        <v>1.0167075960723431</v>
      </c>
      <c r="G1239" s="1100">
        <v>0.99471356879593709</v>
      </c>
      <c r="H1239" s="1100">
        <v>0.98862655541489097</v>
      </c>
      <c r="I1239" s="1100">
        <v>0.97977355303061042</v>
      </c>
      <c r="K1239">
        <v>1.1549412308220199</v>
      </c>
      <c r="L1239">
        <v>0</v>
      </c>
      <c r="M1239">
        <v>7.7107447474155559E-4</v>
      </c>
      <c r="N1239">
        <v>7.1868367727980581E-2</v>
      </c>
      <c r="O1239">
        <v>1.0170554757716818E-2</v>
      </c>
      <c r="P1239">
        <v>1.3708513453178122E-2</v>
      </c>
      <c r="Q1239">
        <v>4.4352186919379078E-4</v>
      </c>
      <c r="R1239">
        <v>7.6934708779762982E-4</v>
      </c>
      <c r="S1239">
        <v>6.9610081508415522E-2</v>
      </c>
      <c r="T1239">
        <v>0.8411758119335766</v>
      </c>
      <c r="U1239">
        <v>0</v>
      </c>
      <c r="V1239">
        <v>9.1560657018837588E-2</v>
      </c>
      <c r="W1239">
        <v>4.7094008432985821E-2</v>
      </c>
      <c r="X1239">
        <v>7.2175323492930576E-3</v>
      </c>
      <c r="Y1239">
        <v>2.0939091577858167E-3</v>
      </c>
    </row>
    <row r="1240" spans="1:25" x14ac:dyDescent="0.25">
      <c r="A1240" s="1096"/>
      <c r="B1240" s="1455">
        <v>990</v>
      </c>
      <c r="C1240" s="1100">
        <v>1.0069828100614078</v>
      </c>
      <c r="D1240" s="1100">
        <v>1.026898987702568</v>
      </c>
      <c r="E1240" s="1100">
        <v>0.95534368425216509</v>
      </c>
      <c r="F1240" s="1100">
        <v>1.0030981018015168</v>
      </c>
      <c r="G1240" s="1100">
        <v>0.99714106911912881</v>
      </c>
      <c r="H1240" s="1100">
        <v>1.0329396172372729</v>
      </c>
      <c r="I1240" s="1100">
        <v>1.0006035913671272</v>
      </c>
      <c r="K1240">
        <v>1.1502012093499272</v>
      </c>
      <c r="L1240">
        <v>0</v>
      </c>
      <c r="M1240">
        <v>8.9132592297975826E-4</v>
      </c>
      <c r="N1240">
        <v>7.1658532567917821E-2</v>
      </c>
      <c r="O1240">
        <v>1.0154642874229397E-2</v>
      </c>
      <c r="P1240">
        <v>1.3146553448841443E-2</v>
      </c>
      <c r="Q1240">
        <v>4.2135488642773198E-4</v>
      </c>
      <c r="R1240">
        <v>8.8941480639725045E-4</v>
      </c>
      <c r="S1240">
        <v>7.2690092830753963E-2</v>
      </c>
      <c r="T1240">
        <v>0.83319520859164431</v>
      </c>
      <c r="U1240">
        <v>0</v>
      </c>
      <c r="V1240">
        <v>9.1795754503146365E-2</v>
      </c>
      <c r="W1240">
        <v>4.8363896923498406E-2</v>
      </c>
      <c r="X1240">
        <v>6.3563899325476871E-3</v>
      </c>
      <c r="Y1240">
        <v>2.4206939075011847E-3</v>
      </c>
    </row>
    <row r="1241" spans="1:25" x14ac:dyDescent="0.25">
      <c r="A1241" s="1096"/>
      <c r="B1241" s="1455">
        <v>991</v>
      </c>
      <c r="C1241" s="1100">
        <v>1.0334543385531851</v>
      </c>
      <c r="D1241" s="1100">
        <v>0.98795153156272397</v>
      </c>
      <c r="E1241" s="1100">
        <v>1.0002035236550484</v>
      </c>
      <c r="F1241" s="1100">
        <v>0.98009991801117113</v>
      </c>
      <c r="G1241" s="1100">
        <v>0.97566578328765674</v>
      </c>
      <c r="H1241" s="1100">
        <v>0.98925537113759154</v>
      </c>
      <c r="I1241" s="1100">
        <v>1.004873027306936</v>
      </c>
      <c r="K1241">
        <v>1.1225520503369597</v>
      </c>
      <c r="L1241">
        <v>0</v>
      </c>
      <c r="M1241">
        <v>7.6992294076852757E-4</v>
      </c>
      <c r="N1241">
        <v>7.0891504582548809E-2</v>
      </c>
      <c r="O1241">
        <v>1.0062979658607465E-2</v>
      </c>
      <c r="P1241">
        <v>1.3257289075372809E-2</v>
      </c>
      <c r="Q1241">
        <v>4.370560517181846E-4</v>
      </c>
      <c r="R1241">
        <v>7.6819922989565168E-4</v>
      </c>
      <c r="S1241">
        <v>7.0865861791412188E-2</v>
      </c>
      <c r="T1241">
        <v>0.81114996847754406</v>
      </c>
      <c r="U1241">
        <v>0</v>
      </c>
      <c r="V1241">
        <v>9.0253077199858048E-2</v>
      </c>
      <c r="W1241">
        <v>4.6565266791988837E-2</v>
      </c>
      <c r="X1241">
        <v>6.9799853518141049E-3</v>
      </c>
      <c r="Y1241">
        <v>2.0907850669678878E-3</v>
      </c>
    </row>
    <row r="1242" spans="1:25" x14ac:dyDescent="0.25">
      <c r="A1242" s="1096"/>
      <c r="B1242" s="1455">
        <v>992</v>
      </c>
      <c r="C1242" s="1100">
        <v>0.98256054948853311</v>
      </c>
      <c r="D1242" s="1100">
        <v>1.028037267349035</v>
      </c>
      <c r="E1242" s="1100">
        <v>0.99000756969605919</v>
      </c>
      <c r="F1242" s="1100">
        <v>0.98226021627095161</v>
      </c>
      <c r="G1242" s="1100">
        <v>1.0204702595333843</v>
      </c>
      <c r="H1242" s="1100">
        <v>1.0422528646486537</v>
      </c>
      <c r="I1242" s="1100">
        <v>0.97431822786635403</v>
      </c>
      <c r="K1242">
        <v>1.1405036311335501</v>
      </c>
      <c r="L1242">
        <v>0</v>
      </c>
      <c r="M1242">
        <v>8.5765523208413373E-4</v>
      </c>
      <c r="N1242">
        <v>7.658193396514687E-2</v>
      </c>
      <c r="O1242">
        <v>1.041380220013877E-2</v>
      </c>
      <c r="P1242">
        <v>1.3259901370057255E-2</v>
      </c>
      <c r="Q1242">
        <v>4.4766876844337655E-4</v>
      </c>
      <c r="R1242">
        <v>8.558327417998319E-4</v>
      </c>
      <c r="S1242">
        <v>7.2910742000030046E-2</v>
      </c>
      <c r="T1242">
        <v>0.81360250701423098</v>
      </c>
      <c r="U1242">
        <v>0</v>
      </c>
      <c r="V1242">
        <v>9.3409320055420325E-2</v>
      </c>
      <c r="W1242">
        <v>5.060998666595188E-2</v>
      </c>
      <c r="X1242">
        <v>6.9402969864216469E-3</v>
      </c>
      <c r="Y1242">
        <v>2.329294597991631E-3</v>
      </c>
    </row>
    <row r="1243" spans="1:25" x14ac:dyDescent="0.25">
      <c r="A1243" s="1096"/>
      <c r="B1243" s="1455">
        <v>993</v>
      </c>
      <c r="C1243" s="1100">
        <v>1.005805607606918</v>
      </c>
      <c r="D1243" s="1100">
        <v>1.0037842036226512</v>
      </c>
      <c r="E1243" s="1100">
        <v>1.0014418443394886</v>
      </c>
      <c r="F1243" s="1100">
        <v>0.99872790188251315</v>
      </c>
      <c r="G1243" s="1100">
        <v>0.98910492512105275</v>
      </c>
      <c r="H1243" s="1100">
        <v>0.9937362192945407</v>
      </c>
      <c r="I1243" s="1100">
        <v>0.98043559587037721</v>
      </c>
      <c r="K1243">
        <v>1.1426689945286812</v>
      </c>
      <c r="L1243">
        <v>0</v>
      </c>
      <c r="M1243">
        <v>7.8760709466446405E-4</v>
      </c>
      <c r="N1243">
        <v>7.2792334232061731E-2</v>
      </c>
      <c r="O1243">
        <v>1.0274458860851524E-2</v>
      </c>
      <c r="P1243">
        <v>1.3492621188678031E-2</v>
      </c>
      <c r="Q1243">
        <v>4.4679657573057022E-4</v>
      </c>
      <c r="R1243">
        <v>7.8585174323066349E-4</v>
      </c>
      <c r="S1243">
        <v>7.0643647858494363E-2</v>
      </c>
      <c r="T1243">
        <v>0.8264850088296789</v>
      </c>
      <c r="U1243">
        <v>0</v>
      </c>
      <c r="V1243">
        <v>9.1487043182708921E-2</v>
      </c>
      <c r="W1243">
        <v>4.7778676901226724E-2</v>
      </c>
      <c r="X1243">
        <v>7.1313328615677969E-3</v>
      </c>
      <c r="Y1243">
        <v>2.1388293891163334E-3</v>
      </c>
    </row>
    <row r="1244" spans="1:25" x14ac:dyDescent="0.25">
      <c r="A1244" s="1096"/>
      <c r="B1244" s="1455">
        <v>994</v>
      </c>
      <c r="C1244" s="1100">
        <v>1.0221252154613421</v>
      </c>
      <c r="D1244" s="1100">
        <v>0.98345930236158852</v>
      </c>
      <c r="E1244" s="1100">
        <v>0.99704076300187416</v>
      </c>
      <c r="F1244" s="1100">
        <v>1.0102471815698444</v>
      </c>
      <c r="G1244" s="1100">
        <v>0.99798210556197409</v>
      </c>
      <c r="H1244" s="1100">
        <v>0.99703590626619965</v>
      </c>
      <c r="I1244" s="1100">
        <v>0.99985118367528092</v>
      </c>
      <c r="K1244">
        <v>1.1526622174728083</v>
      </c>
      <c r="L1244">
        <v>0</v>
      </c>
      <c r="M1244">
        <v>7.9118332423281203E-4</v>
      </c>
      <c r="N1244">
        <v>7.2157486013012834E-2</v>
      </c>
      <c r="O1244">
        <v>1.0192061874330933E-2</v>
      </c>
      <c r="P1244">
        <v>1.3597090287681114E-2</v>
      </c>
      <c r="Q1244">
        <v>4.4125623753014188E-4</v>
      </c>
      <c r="R1244">
        <v>7.8942583811159679E-4</v>
      </c>
      <c r="S1244">
        <v>7.1768642480565456E-2</v>
      </c>
      <c r="T1244">
        <v>0.83631211475365042</v>
      </c>
      <c r="U1244">
        <v>0</v>
      </c>
      <c r="V1244">
        <v>9.1472523465087482E-2</v>
      </c>
      <c r="W1244">
        <v>4.7486106151959237E-2</v>
      </c>
      <c r="X1244">
        <v>7.0881367979282947E-3</v>
      </c>
      <c r="Y1244">
        <v>2.1485568971821726E-3</v>
      </c>
    </row>
    <row r="1245" spans="1:25" x14ac:dyDescent="0.25">
      <c r="A1245" s="1096"/>
      <c r="B1245" s="1455">
        <v>995</v>
      </c>
      <c r="C1245" s="1100">
        <v>1.0228134109600227</v>
      </c>
      <c r="D1245" s="1100">
        <v>0.9795462557391601</v>
      </c>
      <c r="E1245" s="1100">
        <v>0.97675276766332331</v>
      </c>
      <c r="F1245" s="1100">
        <v>0.96587847040221897</v>
      </c>
      <c r="G1245" s="1100">
        <v>1.01446159818871</v>
      </c>
      <c r="H1245" s="1100">
        <v>1.0293083900875448</v>
      </c>
      <c r="I1245" s="1100">
        <v>1.0144062414371176</v>
      </c>
      <c r="K1245">
        <v>1.1216002803321541</v>
      </c>
      <c r="L1245">
        <v>0</v>
      </c>
      <c r="M1245">
        <v>8.5261153470478194E-4</v>
      </c>
      <c r="N1245">
        <v>7.3137534397320139E-2</v>
      </c>
      <c r="O1245">
        <v>1.0194927347043942E-2</v>
      </c>
      <c r="P1245">
        <v>1.2957573353074838E-2</v>
      </c>
      <c r="Q1245">
        <v>4.3240598425947223E-4</v>
      </c>
      <c r="R1245">
        <v>8.5077697745575081E-4</v>
      </c>
      <c r="S1245">
        <v>7.4202351338340133E-2</v>
      </c>
      <c r="T1245">
        <v>0.80088804293473159</v>
      </c>
      <c r="U1245">
        <v>0</v>
      </c>
      <c r="V1245">
        <v>9.2158348537551699E-2</v>
      </c>
      <c r="W1245">
        <v>4.8721071709197629E-2</v>
      </c>
      <c r="X1245">
        <v>6.5943248138034946E-3</v>
      </c>
      <c r="Y1245">
        <v>2.3155344740793111E-3</v>
      </c>
    </row>
    <row r="1246" spans="1:25" x14ac:dyDescent="0.25">
      <c r="A1246" s="1096"/>
      <c r="B1246" s="1455">
        <v>996</v>
      </c>
      <c r="C1246" s="1100">
        <v>0.98140787349249625</v>
      </c>
      <c r="D1246" s="1100">
        <v>1.0422615047059487</v>
      </c>
      <c r="E1246" s="1100">
        <v>1.0042043473961475</v>
      </c>
      <c r="F1246" s="1100">
        <v>0.9649202111169094</v>
      </c>
      <c r="G1246" s="1100">
        <v>0.99156787205403385</v>
      </c>
      <c r="H1246" s="1100">
        <v>0.97724384716079005</v>
      </c>
      <c r="I1246" s="1100">
        <v>1.0258799002653063</v>
      </c>
      <c r="K1246">
        <v>1.1172915716284357</v>
      </c>
      <c r="L1246">
        <v>0</v>
      </c>
      <c r="M1246">
        <v>7.7746654018608194E-4</v>
      </c>
      <c r="N1246">
        <v>7.2454486553701444E-2</v>
      </c>
      <c r="O1246">
        <v>1.0373537749523785E-2</v>
      </c>
      <c r="P1246">
        <v>1.3186045976284271E-2</v>
      </c>
      <c r="Q1246">
        <v>4.5235754844820132E-4</v>
      </c>
      <c r="R1246">
        <v>7.7570454652967059E-4</v>
      </c>
      <c r="S1246">
        <v>7.3620877179347038E-2</v>
      </c>
      <c r="T1246">
        <v>0.7983316382590282</v>
      </c>
      <c r="U1246">
        <v>0</v>
      </c>
      <c r="V1246">
        <v>9.2205353628164968E-2</v>
      </c>
      <c r="W1246">
        <v>4.7479078711997205E-2</v>
      </c>
      <c r="X1246">
        <v>7.0787459508765875E-3</v>
      </c>
      <c r="Y1246">
        <v>2.1112120647187233E-3</v>
      </c>
    </row>
    <row r="1247" spans="1:25" x14ac:dyDescent="0.25">
      <c r="A1247" s="1096"/>
      <c r="B1247" s="1455">
        <v>997</v>
      </c>
      <c r="C1247" s="1100">
        <v>0.98255730216163273</v>
      </c>
      <c r="D1247" s="1100">
        <v>1.0164829346168704</v>
      </c>
      <c r="E1247" s="1100">
        <v>0.96677678233041764</v>
      </c>
      <c r="F1247" s="1100">
        <v>1.0330902057013309</v>
      </c>
      <c r="G1247" s="1100">
        <v>1.0077152820744426</v>
      </c>
      <c r="H1247" s="1100">
        <v>0.97646839337844127</v>
      </c>
      <c r="I1247" s="1100">
        <v>0.97231936344486891</v>
      </c>
      <c r="K1247">
        <v>1.1718784141796006</v>
      </c>
      <c r="L1247">
        <v>0</v>
      </c>
      <c r="M1247">
        <v>8.468748046728306E-4</v>
      </c>
      <c r="N1247">
        <v>7.0475956618126306E-2</v>
      </c>
      <c r="O1247">
        <v>1.0453364478309725E-2</v>
      </c>
      <c r="P1247">
        <v>1.3569269927896765E-2</v>
      </c>
      <c r="Q1247">
        <v>4.3887398598209501E-4</v>
      </c>
      <c r="R1247">
        <v>8.449539849791015E-4</v>
      </c>
      <c r="S1247">
        <v>7.0525046080224807E-2</v>
      </c>
      <c r="T1247">
        <v>0.85731046137349198</v>
      </c>
      <c r="U1247">
        <v>0</v>
      </c>
      <c r="V1247">
        <v>9.2860890062803264E-2</v>
      </c>
      <c r="W1247">
        <v>4.7233565031042854E-2</v>
      </c>
      <c r="X1247">
        <v>6.7132212333098386E-3</v>
      </c>
      <c r="Y1247">
        <v>2.2996862081068247E-3</v>
      </c>
    </row>
    <row r="1248" spans="1:25" x14ac:dyDescent="0.25">
      <c r="A1248" s="1096"/>
      <c r="B1248" s="1455">
        <v>998</v>
      </c>
      <c r="C1248" s="1100">
        <v>1.0072924526034324</v>
      </c>
      <c r="D1248" s="1100">
        <v>1.0166924029432296</v>
      </c>
      <c r="E1248" s="1100">
        <v>0.99812662286930809</v>
      </c>
      <c r="F1248" s="1100">
        <v>0.96651383619499842</v>
      </c>
      <c r="G1248" s="1100">
        <v>1.0098223928706727</v>
      </c>
      <c r="H1248" s="1100">
        <v>1.024211378592063</v>
      </c>
      <c r="I1248" s="1100">
        <v>1.0078237324211936</v>
      </c>
      <c r="K1248">
        <v>1.1217703113242774</v>
      </c>
      <c r="L1248">
        <v>0</v>
      </c>
      <c r="M1248">
        <v>8.1199495425795707E-4</v>
      </c>
      <c r="N1248">
        <v>7.4303326803816239E-2</v>
      </c>
      <c r="O1248">
        <v>1.0205921160390376E-2</v>
      </c>
      <c r="P1248">
        <v>1.3146544202882424E-2</v>
      </c>
      <c r="Q1248">
        <v>4.4233945153179007E-4</v>
      </c>
      <c r="R1248">
        <v>8.1023909657576716E-4</v>
      </c>
      <c r="S1248">
        <v>7.3264118951725576E-2</v>
      </c>
      <c r="T1248">
        <v>0.80003881057355908</v>
      </c>
      <c r="U1248">
        <v>0</v>
      </c>
      <c r="V1248">
        <v>9.2335927791968669E-2</v>
      </c>
      <c r="W1248">
        <v>4.8866654306076812E-2</v>
      </c>
      <c r="X1248">
        <v>6.9632202143757906E-3</v>
      </c>
      <c r="Y1248">
        <v>2.2052037256328357E-3</v>
      </c>
    </row>
    <row r="1249" spans="1:25" x14ac:dyDescent="0.25">
      <c r="A1249" s="1096"/>
      <c r="B1249" s="1455">
        <v>999</v>
      </c>
      <c r="C1249" s="1100">
        <v>1.0244064326828357</v>
      </c>
      <c r="D1249" s="1100">
        <v>0.98789082398480854</v>
      </c>
      <c r="E1249" s="1100">
        <v>0.97361828037417686</v>
      </c>
      <c r="F1249" s="1100">
        <v>0.98023554367994026</v>
      </c>
      <c r="G1249" s="1100">
        <v>0.98119747539643964</v>
      </c>
      <c r="H1249" s="1100">
        <v>0.97828992674113835</v>
      </c>
      <c r="I1249" s="1100">
        <v>1.0107801980572662</v>
      </c>
      <c r="K1249">
        <v>1.1224765259080332</v>
      </c>
      <c r="L1249">
        <v>0</v>
      </c>
      <c r="M1249">
        <v>8.1158960193965593E-4</v>
      </c>
      <c r="N1249">
        <v>6.895352665458529E-2</v>
      </c>
      <c r="O1249">
        <v>1.0143591209813358E-2</v>
      </c>
      <c r="P1249">
        <v>1.3031933665381194E-2</v>
      </c>
      <c r="Q1249">
        <v>4.2885647561251593E-4</v>
      </c>
      <c r="R1249">
        <v>8.0975224103844101E-4</v>
      </c>
      <c r="S1249">
        <v>7.1441405090872281E-2</v>
      </c>
      <c r="T1249">
        <v>0.81299853842294412</v>
      </c>
      <c r="U1249">
        <v>0</v>
      </c>
      <c r="V1249">
        <v>9.0697612767711266E-2</v>
      </c>
      <c r="W1249">
        <v>4.6021219664899679E-2</v>
      </c>
      <c r="X1249">
        <v>6.5578006517617877E-3</v>
      </c>
      <c r="Y1249">
        <v>2.2038786653521183E-3</v>
      </c>
    </row>
    <row r="1250" spans="1:25" x14ac:dyDescent="0.25">
      <c r="A1250" s="1096"/>
      <c r="B1250" s="1455">
        <v>1000</v>
      </c>
      <c r="C1250" s="1100">
        <v>0.99923086418102403</v>
      </c>
      <c r="D1250" s="1100">
        <v>1.0021219314835617</v>
      </c>
      <c r="E1250" s="1100">
        <v>0.9924311792716336</v>
      </c>
      <c r="F1250" s="1100">
        <v>0.97829809281185165</v>
      </c>
      <c r="G1250" s="1100">
        <v>0.9982584749902832</v>
      </c>
      <c r="H1250" s="1100">
        <v>1.0413602035206087</v>
      </c>
      <c r="I1250" s="1100">
        <v>0.97734493174067039</v>
      </c>
      <c r="K1250">
        <v>1.1347474436887468</v>
      </c>
      <c r="L1250">
        <v>0</v>
      </c>
      <c r="M1250">
        <v>8.4701105708154375E-4</v>
      </c>
      <c r="N1250">
        <v>7.6187537857046905E-2</v>
      </c>
      <c r="O1250">
        <v>1.0345973808520028E-2</v>
      </c>
      <c r="P1250">
        <v>1.3217780763853259E-2</v>
      </c>
      <c r="Q1250">
        <v>4.458430687203762E-4</v>
      </c>
      <c r="R1250">
        <v>8.4520964247054907E-4</v>
      </c>
      <c r="S1250">
        <v>7.2827617406408904E-2</v>
      </c>
      <c r="T1250">
        <v>0.81016304837972919</v>
      </c>
      <c r="U1250">
        <v>0</v>
      </c>
      <c r="V1250">
        <v>9.2039171129582861E-2</v>
      </c>
      <c r="W1250">
        <v>5.0276367505766958E-2</v>
      </c>
      <c r="X1250">
        <v>6.9455231602079358E-3</v>
      </c>
      <c r="Y1250">
        <v>2.3003820235210758E-3</v>
      </c>
    </row>
    <row r="1251" spans="1:25" x14ac:dyDescent="0.25">
      <c r="A1251" s="1096"/>
      <c r="B1251" s="1455">
        <v>1001</v>
      </c>
      <c r="C1251" s="1100">
        <v>1.0290515905609432</v>
      </c>
      <c r="D1251" s="1100">
        <v>0.96327875496890591</v>
      </c>
      <c r="E1251" s="1100">
        <v>0.96486149983805025</v>
      </c>
      <c r="F1251" s="1100">
        <v>0.97509447840271379</v>
      </c>
      <c r="G1251" s="1100">
        <v>0.99737306127106684</v>
      </c>
      <c r="H1251" s="1100">
        <v>0.97850749195545683</v>
      </c>
      <c r="I1251" s="1100">
        <v>0.96347167734725536</v>
      </c>
      <c r="K1251">
        <v>1.1163216905586932</v>
      </c>
      <c r="L1251">
        <v>0</v>
      </c>
      <c r="M1251">
        <v>8.3119171819644655E-4</v>
      </c>
      <c r="N1251">
        <v>6.8771052345661013E-2</v>
      </c>
      <c r="O1251">
        <v>1.0197410196284867E-2</v>
      </c>
      <c r="P1251">
        <v>1.2866591555814356E-2</v>
      </c>
      <c r="Q1251">
        <v>4.2728877983979317E-4</v>
      </c>
      <c r="R1251">
        <v>8.2931039838000931E-4</v>
      </c>
      <c r="S1251">
        <v>6.8676264603524398E-2</v>
      </c>
      <c r="T1251">
        <v>0.80930838341671318</v>
      </c>
      <c r="U1251">
        <v>0</v>
      </c>
      <c r="V1251">
        <v>9.127928330650141E-2</v>
      </c>
      <c r="W1251">
        <v>4.6144862897632533E-2</v>
      </c>
      <c r="X1251">
        <v>6.3953252542477412E-3</v>
      </c>
      <c r="Y1251">
        <v>2.2571095222910327E-3</v>
      </c>
    </row>
    <row r="1252" spans="1:25" x14ac:dyDescent="0.25">
      <c r="A1252" s="1096"/>
      <c r="B1252" s="1455">
        <v>1002</v>
      </c>
      <c r="C1252" s="1100">
        <v>1.0425254139299354</v>
      </c>
      <c r="D1252" s="1100">
        <v>0.97517272055370618</v>
      </c>
      <c r="E1252" s="1100">
        <v>0.96168893282691803</v>
      </c>
      <c r="F1252" s="1100">
        <v>0.99695232689809188</v>
      </c>
      <c r="G1252" s="1100">
        <v>1.0275368018498128</v>
      </c>
      <c r="H1252" s="1100">
        <v>0.9530349526399946</v>
      </c>
      <c r="I1252" s="1100">
        <v>0.96759601731073996</v>
      </c>
      <c r="K1252">
        <v>1.128333206373866</v>
      </c>
      <c r="L1252">
        <v>0</v>
      </c>
      <c r="M1252">
        <v>8.0039785728385632E-4</v>
      </c>
      <c r="N1252">
        <v>6.5585837901061844E-2</v>
      </c>
      <c r="O1252">
        <v>1.0015328537377516E-2</v>
      </c>
      <c r="P1252">
        <v>1.3064560347745625E-2</v>
      </c>
      <c r="Q1252">
        <v>4.1829556056471943E-4</v>
      </c>
      <c r="R1252">
        <v>7.9853781564472612E-4</v>
      </c>
      <c r="S1252">
        <v>6.6675104133634561E-2</v>
      </c>
      <c r="T1252">
        <v>0.82766310393029385</v>
      </c>
      <c r="U1252">
        <v>0</v>
      </c>
      <c r="V1252">
        <v>9.2258227304360077E-2</v>
      </c>
      <c r="W1252">
        <v>4.4093121725769589E-2</v>
      </c>
      <c r="X1252">
        <v>6.3881302784316429E-3</v>
      </c>
      <c r="Y1252">
        <v>2.1733566962647637E-3</v>
      </c>
    </row>
    <row r="1253" spans="1:25" x14ac:dyDescent="0.25">
      <c r="A1253" s="1096"/>
      <c r="B1253" s="1455">
        <v>1003</v>
      </c>
      <c r="C1253" s="1100">
        <v>0.98317671872078594</v>
      </c>
      <c r="D1253" s="1100">
        <v>0.98719515355801624</v>
      </c>
      <c r="E1253" s="1100">
        <v>1.0317765336016795</v>
      </c>
      <c r="F1253" s="1100">
        <v>0.98914072920594354</v>
      </c>
      <c r="G1253" s="1100">
        <v>1.014163490912231</v>
      </c>
      <c r="H1253" s="1100">
        <v>1.0352795449385974</v>
      </c>
      <c r="I1253" s="1100">
        <v>1.0078042320324723</v>
      </c>
      <c r="K1253">
        <v>1.1533680062044052</v>
      </c>
      <c r="L1253">
        <v>0</v>
      </c>
      <c r="M1253">
        <v>7.9337177186792165E-4</v>
      </c>
      <c r="N1253">
        <v>8.0360989548889178E-2</v>
      </c>
      <c r="O1253">
        <v>1.059141136858025E-2</v>
      </c>
      <c r="P1253">
        <v>1.3766627273102076E-2</v>
      </c>
      <c r="Q1253">
        <v>4.7470790394584856E-4</v>
      </c>
      <c r="R1253">
        <v>7.9167452627827532E-4</v>
      </c>
      <c r="S1253">
        <v>7.6704900716796906E-2</v>
      </c>
      <c r="T1253">
        <v>0.81658091944489242</v>
      </c>
      <c r="U1253">
        <v>0</v>
      </c>
      <c r="V1253">
        <v>9.3130344965894327E-2</v>
      </c>
      <c r="W1253">
        <v>5.1816173034025088E-2</v>
      </c>
      <c r="X1253">
        <v>7.7889521087749197E-3</v>
      </c>
      <c r="Y1253">
        <v>2.1546770850920157E-3</v>
      </c>
    </row>
    <row r="1254" spans="1:25" x14ac:dyDescent="0.25">
      <c r="A1254" s="1096"/>
      <c r="B1254" s="1455">
        <v>1004</v>
      </c>
      <c r="C1254" s="1100">
        <v>0.98033342493685305</v>
      </c>
      <c r="D1254" s="1100">
        <v>0.99983077145159749</v>
      </c>
      <c r="E1254" s="1100">
        <v>0.98801995391275665</v>
      </c>
      <c r="F1254" s="1100">
        <v>0.98796374501811579</v>
      </c>
      <c r="G1254" s="1100">
        <v>1.0392494828719887</v>
      </c>
      <c r="H1254" s="1100">
        <v>0.97012242433940188</v>
      </c>
      <c r="I1254" s="1100">
        <v>0.99717445748411049</v>
      </c>
      <c r="K1254">
        <v>1.1388605822089302</v>
      </c>
      <c r="L1254">
        <v>0</v>
      </c>
      <c r="M1254">
        <v>8.1240414860103141E-4</v>
      </c>
      <c r="N1254">
        <v>7.2095291387589938E-2</v>
      </c>
      <c r="O1254">
        <v>1.0553597327097753E-2</v>
      </c>
      <c r="P1254">
        <v>1.331674126607791E-2</v>
      </c>
      <c r="Q1254">
        <v>4.5276725561588959E-4</v>
      </c>
      <c r="R1254">
        <v>8.1054945929880844E-4</v>
      </c>
      <c r="S1254">
        <v>7.2873162194362573E-2</v>
      </c>
      <c r="T1254">
        <v>0.81845742305258362</v>
      </c>
      <c r="U1254">
        <v>0</v>
      </c>
      <c r="V1254">
        <v>9.4269362346320523E-2</v>
      </c>
      <c r="W1254">
        <v>4.7701750229105805E-2</v>
      </c>
      <c r="X1254">
        <v>6.936293408824192E-3</v>
      </c>
      <c r="Y1254">
        <v>2.2060484306539101E-3</v>
      </c>
    </row>
    <row r="1255" spans="1:25" x14ac:dyDescent="0.25">
      <c r="A1255" s="1096"/>
      <c r="B1255" s="1455">
        <v>1005</v>
      </c>
      <c r="C1255" s="1100">
        <v>1.0160661728599221</v>
      </c>
      <c r="D1255" s="1100">
        <v>1.0344697848447932</v>
      </c>
      <c r="E1255" s="1100">
        <v>0.98181307332529599</v>
      </c>
      <c r="F1255" s="1100">
        <v>1.0105947389801919</v>
      </c>
      <c r="G1255" s="1100">
        <v>1.0073017789241321</v>
      </c>
      <c r="H1255" s="1100">
        <v>0.98274704708097738</v>
      </c>
      <c r="I1255" s="1100">
        <v>0.97398456342314665</v>
      </c>
      <c r="K1255">
        <v>1.1454122876719994</v>
      </c>
      <c r="L1255">
        <v>0</v>
      </c>
      <c r="M1255">
        <v>7.9341597664029501E-4</v>
      </c>
      <c r="N1255">
        <v>6.9102763055712946E-2</v>
      </c>
      <c r="O1255">
        <v>1.0042705500394241E-2</v>
      </c>
      <c r="P1255">
        <v>1.3415521088431026E-2</v>
      </c>
      <c r="Q1255">
        <v>4.2814697542656967E-4</v>
      </c>
      <c r="R1255">
        <v>7.9162790559023934E-4</v>
      </c>
      <c r="S1255">
        <v>6.7960492229543021E-2</v>
      </c>
      <c r="T1255">
        <v>0.83762392715221257</v>
      </c>
      <c r="U1255">
        <v>0</v>
      </c>
      <c r="V1255">
        <v>9.2013590936877068E-2</v>
      </c>
      <c r="W1255">
        <v>4.5892759737126448E-2</v>
      </c>
      <c r="X1255">
        <v>6.7796188683765602E-3</v>
      </c>
      <c r="Y1255">
        <v>2.1545501989476889E-3</v>
      </c>
    </row>
    <row r="1256" spans="1:25" x14ac:dyDescent="0.25">
      <c r="A1256" s="1096"/>
      <c r="B1256" s="1455">
        <v>1006</v>
      </c>
      <c r="C1256" s="1100">
        <v>0.95842626285980703</v>
      </c>
      <c r="D1256" s="1100">
        <v>0.9923419975258374</v>
      </c>
      <c r="E1256" s="1100">
        <v>0.95184625210031004</v>
      </c>
      <c r="F1256" s="1100">
        <v>0.95845032825651399</v>
      </c>
      <c r="G1256" s="1100">
        <v>1.0175436484877409</v>
      </c>
      <c r="H1256" s="1100">
        <v>0.99450845879171534</v>
      </c>
      <c r="I1256" s="1100">
        <v>0.99816324803030443</v>
      </c>
      <c r="K1256">
        <v>1.1216372988614594</v>
      </c>
      <c r="L1256">
        <v>0</v>
      </c>
      <c r="M1256">
        <v>9.2067701994944212E-4</v>
      </c>
      <c r="N1256">
        <v>7.3231502969411499E-2</v>
      </c>
      <c r="O1256">
        <v>1.0815007158835583E-2</v>
      </c>
      <c r="P1256">
        <v>1.2696524661685849E-2</v>
      </c>
      <c r="Q1256">
        <v>4.4713991442153707E-4</v>
      </c>
      <c r="R1256">
        <v>9.18626686958233E-4</v>
      </c>
      <c r="S1256">
        <v>7.5894563188256242E-2</v>
      </c>
      <c r="T1256">
        <v>0.79633674577634328</v>
      </c>
      <c r="U1256">
        <v>0</v>
      </c>
      <c r="V1256">
        <v>9.3914192187303097E-2</v>
      </c>
      <c r="W1256">
        <v>4.9532235551386958E-2</v>
      </c>
      <c r="X1256">
        <v>6.2712387701113551E-3</v>
      </c>
      <c r="Y1256">
        <v>2.5001990166943402E-3</v>
      </c>
    </row>
    <row r="1257" spans="1:25" x14ac:dyDescent="0.25">
      <c r="A1257" s="1096"/>
      <c r="B1257" s="1455">
        <v>1007</v>
      </c>
      <c r="C1257" s="1100">
        <v>0.96411183898566211</v>
      </c>
      <c r="D1257" s="1100">
        <v>1.0095367376584516</v>
      </c>
      <c r="E1257" s="1100">
        <v>1.009998218333763</v>
      </c>
      <c r="F1257" s="1100">
        <v>0.98386642732873897</v>
      </c>
      <c r="G1257" s="1100">
        <v>1.038046719505582</v>
      </c>
      <c r="H1257" s="1100">
        <v>0.98887108916554833</v>
      </c>
      <c r="I1257" s="1100">
        <v>0.96285599655937859</v>
      </c>
      <c r="K1257">
        <v>1.1400479542176034</v>
      </c>
      <c r="L1257">
        <v>0</v>
      </c>
      <c r="M1257">
        <v>8.0141451139004844E-4</v>
      </c>
      <c r="N1257">
        <v>7.6006465229226786E-2</v>
      </c>
      <c r="O1257">
        <v>1.069720919233587E-2</v>
      </c>
      <c r="P1257">
        <v>1.3463925041746816E-2</v>
      </c>
      <c r="Q1257">
        <v>4.6918574319521408E-4</v>
      </c>
      <c r="R1257">
        <v>7.9961959964261887E-4</v>
      </c>
      <c r="S1257">
        <v>7.1978156688959224E-2</v>
      </c>
      <c r="T1257">
        <v>0.81363080462536452</v>
      </c>
      <c r="U1257">
        <v>0</v>
      </c>
      <c r="V1257">
        <v>9.4646247134578532E-2</v>
      </c>
      <c r="W1257">
        <v>4.9636410799647673E-2</v>
      </c>
      <c r="X1257">
        <v>7.3450437185990898E-3</v>
      </c>
      <c r="Y1257">
        <v>2.1763009556970293E-3</v>
      </c>
    </row>
    <row r="1258" spans="1:25" x14ac:dyDescent="0.25">
      <c r="A1258" s="1096"/>
      <c r="B1258" s="1455">
        <v>1008</v>
      </c>
      <c r="C1258" s="1100">
        <v>1.0052828311506996</v>
      </c>
      <c r="D1258" s="1100">
        <v>0.9908768026590713</v>
      </c>
      <c r="E1258" s="1100">
        <v>1.0116261128629889</v>
      </c>
      <c r="F1258" s="1100">
        <v>0.98719887548958229</v>
      </c>
      <c r="G1258" s="1100">
        <v>0.97288228045504288</v>
      </c>
      <c r="H1258" s="1100">
        <v>1.0007081918786513</v>
      </c>
      <c r="I1258" s="1100">
        <v>1.0228543389673304</v>
      </c>
      <c r="K1258">
        <v>1.1383255983664469</v>
      </c>
      <c r="L1258">
        <v>0</v>
      </c>
      <c r="M1258">
        <v>7.8097326232611061E-4</v>
      </c>
      <c r="N1258">
        <v>7.4434674096360953E-2</v>
      </c>
      <c r="O1258">
        <v>1.033648822733828E-2</v>
      </c>
      <c r="P1258">
        <v>1.3498918785698085E-2</v>
      </c>
      <c r="Q1258">
        <v>4.5410234654188439E-4</v>
      </c>
      <c r="R1258">
        <v>7.7924482240538707E-4</v>
      </c>
      <c r="S1258">
        <v>7.4532280015553759E-2</v>
      </c>
      <c r="T1258">
        <v>0.81628081694307819</v>
      </c>
      <c r="U1258">
        <v>0</v>
      </c>
      <c r="V1258">
        <v>9.0808030902805828E-2</v>
      </c>
      <c r="W1258">
        <v>4.8563334596574137E-2</v>
      </c>
      <c r="X1258">
        <v>7.297833363816046E-3</v>
      </c>
      <c r="Y1258">
        <v>2.1208475286007954E-3</v>
      </c>
    </row>
    <row r="1259" spans="1:25" x14ac:dyDescent="0.25">
      <c r="A1259" s="1096"/>
      <c r="B1259" s="1455">
        <v>1009</v>
      </c>
      <c r="C1259" s="1100">
        <v>0.98809080750184908</v>
      </c>
      <c r="D1259" s="1100">
        <v>1.0096498249463253</v>
      </c>
      <c r="E1259" s="1100">
        <v>0.96640136288710821</v>
      </c>
      <c r="F1259" s="1100">
        <v>1.0036662771363987</v>
      </c>
      <c r="G1259" s="1100">
        <v>1.0088258061220032</v>
      </c>
      <c r="H1259" s="1100">
        <v>0.99521878509282824</v>
      </c>
      <c r="I1259" s="1100">
        <v>0.98901167418412717</v>
      </c>
      <c r="K1259">
        <v>1.1506795732623845</v>
      </c>
      <c r="L1259">
        <v>0</v>
      </c>
      <c r="M1259">
        <v>8.6128870404315124E-4</v>
      </c>
      <c r="N1259">
        <v>7.1597081615543554E-2</v>
      </c>
      <c r="O1259">
        <v>1.042278346518569E-2</v>
      </c>
      <c r="P1259">
        <v>1.3264153495604872E-2</v>
      </c>
      <c r="Q1259">
        <v>4.3742187872567172E-4</v>
      </c>
      <c r="R1259">
        <v>8.5937199688661747E-4</v>
      </c>
      <c r="S1259">
        <v>7.2341803054199863E-2</v>
      </c>
      <c r="T1259">
        <v>0.83291835134183601</v>
      </c>
      <c r="U1259">
        <v>0</v>
      </c>
      <c r="V1259">
        <v>9.2767169742165548E-2</v>
      </c>
      <c r="W1259">
        <v>4.7995947438345843E-2</v>
      </c>
      <c r="X1259">
        <v>6.597850654311635E-3</v>
      </c>
      <c r="Y1259">
        <v>2.3389272836227353E-3</v>
      </c>
    </row>
    <row r="1260" spans="1:25" x14ac:dyDescent="0.25">
      <c r="A1260" s="1096"/>
      <c r="B1260" s="1455">
        <v>1010</v>
      </c>
      <c r="C1260" s="1100">
        <v>0.98567882739938506</v>
      </c>
      <c r="D1260" s="1100">
        <v>1.0213512913777256</v>
      </c>
      <c r="E1260" s="1100">
        <v>0.99945281552740772</v>
      </c>
      <c r="F1260" s="1100">
        <v>1.0040386893621998</v>
      </c>
      <c r="G1260" s="1100">
        <v>1.0338997575298625</v>
      </c>
      <c r="H1260" s="1100">
        <v>1.0010443992547817</v>
      </c>
      <c r="I1260" s="1100">
        <v>0.97665588963488148</v>
      </c>
      <c r="K1260">
        <v>1.1530880953453166</v>
      </c>
      <c r="L1260">
        <v>0</v>
      </c>
      <c r="M1260">
        <v>8.0732520512794795E-4</v>
      </c>
      <c r="N1260">
        <v>7.4168911762053494E-2</v>
      </c>
      <c r="O1260">
        <v>1.0411093521781092E-2</v>
      </c>
      <c r="P1260">
        <v>1.3578412817454867E-2</v>
      </c>
      <c r="Q1260">
        <v>4.5183424437099211E-4</v>
      </c>
      <c r="R1260">
        <v>8.0553904352405402E-4</v>
      </c>
      <c r="S1260">
        <v>7.1461299885191773E-2</v>
      </c>
      <c r="T1260">
        <v>0.83101207183442771</v>
      </c>
      <c r="U1260">
        <v>0</v>
      </c>
      <c r="V1260">
        <v>9.3904998031023201E-2</v>
      </c>
      <c r="W1260">
        <v>4.8739784918060941E-2</v>
      </c>
      <c r="X1260">
        <v>7.1690627619571028E-3</v>
      </c>
      <c r="Y1260">
        <v>2.1924117305981445E-3</v>
      </c>
    </row>
    <row r="1261" spans="1:25" x14ac:dyDescent="0.25">
      <c r="A1261" s="1096"/>
      <c r="B1261" s="1455">
        <v>1011</v>
      </c>
      <c r="C1261" s="1100">
        <v>0.97322525930920334</v>
      </c>
      <c r="D1261" s="1100">
        <v>0.98732689076422431</v>
      </c>
      <c r="E1261" s="1100">
        <v>1.0294351861447948</v>
      </c>
      <c r="F1261" s="1100">
        <v>0.98797005836914242</v>
      </c>
      <c r="G1261" s="1100">
        <v>1.0000298898306359</v>
      </c>
      <c r="H1261" s="1100">
        <v>0.99302647011378131</v>
      </c>
      <c r="I1261" s="1100">
        <v>0.95849299430612944</v>
      </c>
      <c r="K1261">
        <v>1.1430272086232276</v>
      </c>
      <c r="L1261">
        <v>0</v>
      </c>
      <c r="M1261">
        <v>7.7249205100097173E-4</v>
      </c>
      <c r="N1261">
        <v>7.7688680864209159E-2</v>
      </c>
      <c r="O1261">
        <v>1.0698344903181889E-2</v>
      </c>
      <c r="P1261">
        <v>1.3661242230996353E-2</v>
      </c>
      <c r="Q1261">
        <v>4.7839234005177727E-4</v>
      </c>
      <c r="R1261">
        <v>7.7076915615473674E-4</v>
      </c>
      <c r="S1261">
        <v>7.1987451135449715E-2</v>
      </c>
      <c r="T1261">
        <v>0.81576532615766761</v>
      </c>
      <c r="U1261">
        <v>0</v>
      </c>
      <c r="V1261">
        <v>9.2783820568641179E-2</v>
      </c>
      <c r="W1261">
        <v>5.0161183287620849E-2</v>
      </c>
      <c r="X1261">
        <v>7.7067104711851667E-3</v>
      </c>
      <c r="Y1261">
        <v>2.0977795590691535E-3</v>
      </c>
    </row>
    <row r="1262" spans="1:25" x14ac:dyDescent="0.25">
      <c r="A1262" s="1096"/>
      <c r="B1262" s="1455">
        <v>1012</v>
      </c>
      <c r="C1262" s="1100">
        <v>1.0080768805495164</v>
      </c>
      <c r="D1262" s="1100">
        <v>0.98042215881753125</v>
      </c>
      <c r="E1262" s="1100">
        <v>1.0099705935383871</v>
      </c>
      <c r="F1262" s="1100">
        <v>0.97782430270628951</v>
      </c>
      <c r="G1262" s="1100">
        <v>1.0326347842024017</v>
      </c>
      <c r="H1262" s="1100">
        <v>1.0030989893620998</v>
      </c>
      <c r="I1262" s="1100">
        <v>1.0056420380284172</v>
      </c>
      <c r="K1262">
        <v>1.1324109210125526</v>
      </c>
      <c r="L1262">
        <v>0</v>
      </c>
      <c r="M1262">
        <v>7.8668995412957291E-4</v>
      </c>
      <c r="N1262">
        <v>7.4606135602018925E-2</v>
      </c>
      <c r="O1262">
        <v>1.0351123113690455E-2</v>
      </c>
      <c r="P1262">
        <v>1.3398348995602943E-2</v>
      </c>
      <c r="Q1262">
        <v>4.5399367164633255E-4</v>
      </c>
      <c r="R1262">
        <v>7.8495301183895301E-4</v>
      </c>
      <c r="S1262">
        <v>7.3570063549382073E-2</v>
      </c>
      <c r="T1262">
        <v>0.80863591131977663</v>
      </c>
      <c r="U1262">
        <v>0</v>
      </c>
      <c r="V1262">
        <v>9.3293634929671396E-2</v>
      </c>
      <c r="W1262">
        <v>4.8722712056369188E-2</v>
      </c>
      <c r="X1262">
        <v>7.244351378148944E-3</v>
      </c>
      <c r="Y1262">
        <v>2.1363833385348216E-3</v>
      </c>
    </row>
    <row r="1263" spans="1:25" x14ac:dyDescent="0.25">
      <c r="A1263" s="1096"/>
      <c r="B1263" s="1455">
        <v>1013</v>
      </c>
      <c r="C1263" s="1100">
        <v>1.0293972941820895</v>
      </c>
      <c r="D1263" s="1100">
        <v>1.0092320158858559</v>
      </c>
      <c r="E1263" s="1100">
        <v>0.97183313943130434</v>
      </c>
      <c r="F1263" s="1100">
        <v>1.0370944127563266</v>
      </c>
      <c r="G1263" s="1100">
        <v>1.0222247974185334</v>
      </c>
      <c r="H1263" s="1100">
        <v>1.0048360908278164</v>
      </c>
      <c r="I1263" s="1100">
        <v>1.0120348672381869</v>
      </c>
      <c r="K1263">
        <v>1.1735234029552857</v>
      </c>
      <c r="L1263">
        <v>0</v>
      </c>
      <c r="M1263">
        <v>8.2554699456098318E-4</v>
      </c>
      <c r="N1263">
        <v>6.9765524292834849E-2</v>
      </c>
      <c r="O1263">
        <v>1.000791838738615E-2</v>
      </c>
      <c r="P1263">
        <v>1.3667158268698769E-2</v>
      </c>
      <c r="Q1263">
        <v>4.2235029297115758E-4</v>
      </c>
      <c r="R1263">
        <v>8.2372741037686293E-4</v>
      </c>
      <c r="S1263">
        <v>7.1459801140525081E-2</v>
      </c>
      <c r="T1263">
        <v>0.86028097529706626</v>
      </c>
      <c r="U1263">
        <v>0</v>
      </c>
      <c r="V1263">
        <v>9.2334948964416547E-2</v>
      </c>
      <c r="W1263">
        <v>4.6613674865519553E-2</v>
      </c>
      <c r="X1263">
        <v>6.7309565606737971E-3</v>
      </c>
      <c r="Y1263">
        <v>2.2419144693779681E-3</v>
      </c>
    </row>
    <row r="1264" spans="1:25" x14ac:dyDescent="0.25">
      <c r="A1264" s="1096"/>
      <c r="B1264" s="1455">
        <v>1014</v>
      </c>
      <c r="C1264" s="1100">
        <v>0.99723643788069694</v>
      </c>
      <c r="D1264" s="1100">
        <v>1.0293527445474828</v>
      </c>
      <c r="E1264" s="1100">
        <v>1.0105908429668649</v>
      </c>
      <c r="F1264" s="1100">
        <v>0.98862223856239617</v>
      </c>
      <c r="G1264" s="1100">
        <v>1.0186806646826145</v>
      </c>
      <c r="H1264" s="1100">
        <v>0.98449711929967876</v>
      </c>
      <c r="I1264" s="1100">
        <v>1.0093697667699335</v>
      </c>
      <c r="K1264">
        <v>1.1361235855560357</v>
      </c>
      <c r="L1264">
        <v>0</v>
      </c>
      <c r="M1264">
        <v>7.6445106536945733E-4</v>
      </c>
      <c r="N1264">
        <v>7.2629940142465613E-2</v>
      </c>
      <c r="O1264">
        <v>1.0261977929112317E-2</v>
      </c>
      <c r="P1264">
        <v>1.3501152712651732E-2</v>
      </c>
      <c r="Q1264">
        <v>4.5036292725279505E-4</v>
      </c>
      <c r="R1264">
        <v>7.6273133318757269E-4</v>
      </c>
      <c r="S1264">
        <v>7.2046979051057322E-2</v>
      </c>
      <c r="T1264">
        <v>0.81752513854446218</v>
      </c>
      <c r="U1264">
        <v>0</v>
      </c>
      <c r="V1264">
        <v>9.2964517962909346E-2</v>
      </c>
      <c r="W1264">
        <v>4.7414785365802063E-2</v>
      </c>
      <c r="X1264">
        <v>7.2545473978841779E-3</v>
      </c>
      <c r="Y1264">
        <v>2.0759032546201614E-3</v>
      </c>
    </row>
    <row r="1265" spans="1:25" x14ac:dyDescent="0.25">
      <c r="A1265" s="1096"/>
      <c r="B1265" s="1455">
        <v>1015</v>
      </c>
      <c r="C1265" s="1100">
        <v>1.0040716975224413</v>
      </c>
      <c r="D1265" s="1100">
        <v>1.0133515413420338</v>
      </c>
      <c r="E1265" s="1100">
        <v>0.9624375732474939</v>
      </c>
      <c r="F1265" s="1100">
        <v>1.0119895356507029</v>
      </c>
      <c r="G1265" s="1100">
        <v>0.95809227217203308</v>
      </c>
      <c r="H1265" s="1100">
        <v>0.96485236250912965</v>
      </c>
      <c r="I1265" s="1100">
        <v>1.0083960433965591</v>
      </c>
      <c r="K1265">
        <v>1.1477969830381425</v>
      </c>
      <c r="L1265">
        <v>0</v>
      </c>
      <c r="M1265">
        <v>8.2725250432513124E-4</v>
      </c>
      <c r="N1265">
        <v>6.7942209815356924E-2</v>
      </c>
      <c r="O1265">
        <v>1.0240612206888303E-2</v>
      </c>
      <c r="P1265">
        <v>1.3269672890578427E-2</v>
      </c>
      <c r="Q1265">
        <v>4.2803349969891107E-4</v>
      </c>
      <c r="R1265">
        <v>8.2535360122348508E-4</v>
      </c>
      <c r="S1265">
        <v>7.1211455611866412E-2</v>
      </c>
      <c r="T1265">
        <v>0.84009580608445367</v>
      </c>
      <c r="U1265">
        <v>0</v>
      </c>
      <c r="V1265">
        <v>9.0197456530459519E-2</v>
      </c>
      <c r="W1265">
        <v>4.5656362395274208E-2</v>
      </c>
      <c r="X1265">
        <v>6.5109324818791083E-3</v>
      </c>
      <c r="Y1265">
        <v>2.2463404247888056E-3</v>
      </c>
    </row>
    <row r="1266" spans="1:25" x14ac:dyDescent="0.25">
      <c r="A1266" s="1096"/>
      <c r="B1266" s="1455">
        <v>1016</v>
      </c>
      <c r="C1266" s="1100">
        <v>1.021330719099611</v>
      </c>
      <c r="D1266" s="1100">
        <v>0.99112282767874027</v>
      </c>
      <c r="E1266" s="1100">
        <v>1.0149874712332048</v>
      </c>
      <c r="F1266" s="1100">
        <v>0.98827734596584482</v>
      </c>
      <c r="G1266" s="1100">
        <v>0.98859811692542865</v>
      </c>
      <c r="H1266" s="1100">
        <v>0.98250926909472946</v>
      </c>
      <c r="I1266" s="1100">
        <v>1.009295411853637</v>
      </c>
      <c r="K1266">
        <v>1.1322819772713613</v>
      </c>
      <c r="L1266">
        <v>0</v>
      </c>
      <c r="M1266">
        <v>7.4939328554960338E-4</v>
      </c>
      <c r="N1266">
        <v>7.2150143978958428E-2</v>
      </c>
      <c r="O1266">
        <v>1.0174146825139046E-2</v>
      </c>
      <c r="P1266">
        <v>1.3505867388645185E-2</v>
      </c>
      <c r="Q1266">
        <v>4.4847203264828886E-4</v>
      </c>
      <c r="R1266">
        <v>7.4770401691187486E-4</v>
      </c>
      <c r="S1266">
        <v>7.1648939738635301E-2</v>
      </c>
      <c r="T1266">
        <v>0.81695407019516109</v>
      </c>
      <c r="U1266">
        <v>0</v>
      </c>
      <c r="V1266">
        <v>9.1092917255507444E-2</v>
      </c>
      <c r="W1266">
        <v>4.6979871972725941E-2</v>
      </c>
      <c r="X1266">
        <v>7.2942332991065744E-3</v>
      </c>
      <c r="Y1266">
        <v>2.0350038534711918E-3</v>
      </c>
    </row>
    <row r="1267" spans="1:25" x14ac:dyDescent="0.25">
      <c r="A1267" s="1096"/>
      <c r="B1267" s="1455">
        <v>1017</v>
      </c>
      <c r="C1267" s="1100">
        <v>0.98401251410318213</v>
      </c>
      <c r="D1267" s="1100">
        <v>0.99622746457049849</v>
      </c>
      <c r="E1267" s="1100">
        <v>0.97922653195357867</v>
      </c>
      <c r="F1267" s="1100">
        <v>0.9676559160615551</v>
      </c>
      <c r="G1267" s="1100">
        <v>1.0009855615448717</v>
      </c>
      <c r="H1267" s="1100">
        <v>0.99674667515409177</v>
      </c>
      <c r="I1267" s="1100">
        <v>1.016201927195544</v>
      </c>
      <c r="K1267">
        <v>1.1250167968888094</v>
      </c>
      <c r="L1267">
        <v>0</v>
      </c>
      <c r="M1267">
        <v>8.4807070070962523E-4</v>
      </c>
      <c r="N1267">
        <v>7.3289481958090374E-2</v>
      </c>
      <c r="O1267">
        <v>1.052641244239534E-2</v>
      </c>
      <c r="P1267">
        <v>1.301859014603788E-2</v>
      </c>
      <c r="Q1267">
        <v>4.4759077265036029E-4</v>
      </c>
      <c r="R1267">
        <v>8.4618630181152669E-4</v>
      </c>
      <c r="S1267">
        <v>7.5233234393525167E-2</v>
      </c>
      <c r="T1267">
        <v>0.80220168413970405</v>
      </c>
      <c r="U1267">
        <v>0</v>
      </c>
      <c r="V1267">
        <v>9.2537407318934881E-2</v>
      </c>
      <c r="W1267">
        <v>4.8749304224918973E-2</v>
      </c>
      <c r="X1267">
        <v>6.7119357231574901E-3</v>
      </c>
      <c r="Y1267">
        <v>2.3030401682915523E-3</v>
      </c>
    </row>
    <row r="1268" spans="1:25" x14ac:dyDescent="0.25">
      <c r="A1268" s="1096"/>
      <c r="B1268" s="1455">
        <v>1018</v>
      </c>
      <c r="C1268" s="1100">
        <v>1.024703886680717</v>
      </c>
      <c r="D1268" s="1100">
        <v>1.004570468623408</v>
      </c>
      <c r="E1268" s="1100">
        <v>0.96607703713471704</v>
      </c>
      <c r="F1268" s="1100">
        <v>0.9901919599531811</v>
      </c>
      <c r="G1268" s="1100">
        <v>0.99246893172325079</v>
      </c>
      <c r="H1268" s="1100">
        <v>1.0332455823828808</v>
      </c>
      <c r="I1268" s="1100">
        <v>1.0189121114635609</v>
      </c>
      <c r="K1268">
        <v>1.1388875565594987</v>
      </c>
      <c r="L1268">
        <v>0</v>
      </c>
      <c r="M1268">
        <v>8.6456763553106506E-4</v>
      </c>
      <c r="N1268">
        <v>7.1804983289329563E-2</v>
      </c>
      <c r="O1268">
        <v>1.0070566532608825E-2</v>
      </c>
      <c r="P1268">
        <v>1.3107920083095168E-2</v>
      </c>
      <c r="Q1268">
        <v>4.2249971884921215E-4</v>
      </c>
      <c r="R1268">
        <v>8.627144410646465E-4</v>
      </c>
      <c r="S1268">
        <v>7.3586588629503874E-2</v>
      </c>
      <c r="T1268">
        <v>0.82175795362698323</v>
      </c>
      <c r="U1268">
        <v>0</v>
      </c>
      <c r="V1268">
        <v>9.1171769547269216E-2</v>
      </c>
      <c r="W1268">
        <v>4.8144847843228235E-2</v>
      </c>
      <c r="X1268">
        <v>6.4742561682596235E-3</v>
      </c>
      <c r="Y1268">
        <v>2.348024314838903E-3</v>
      </c>
    </row>
    <row r="1269" spans="1:25" x14ac:dyDescent="0.25">
      <c r="A1269" s="1096"/>
      <c r="B1269" s="1455">
        <v>1019</v>
      </c>
      <c r="C1269" s="1100">
        <v>0.97963361841699692</v>
      </c>
      <c r="D1269" s="1100">
        <v>0.98842419329861897</v>
      </c>
      <c r="E1269" s="1100">
        <v>0.97601049799471018</v>
      </c>
      <c r="F1269" s="1100">
        <v>1.0046340366532887</v>
      </c>
      <c r="G1269" s="1100">
        <v>0.98188285658440189</v>
      </c>
      <c r="H1269" s="1100">
        <v>1.0008290564068352</v>
      </c>
      <c r="I1269" s="1100">
        <v>0.9741275021974708</v>
      </c>
      <c r="K1269">
        <v>1.1545525906828344</v>
      </c>
      <c r="L1269">
        <v>0</v>
      </c>
      <c r="M1269">
        <v>8.6376808849189806E-4</v>
      </c>
      <c r="N1269">
        <v>7.3923750953768741E-2</v>
      </c>
      <c r="O1269">
        <v>1.0605699985363769E-2</v>
      </c>
      <c r="P1269">
        <v>1.3359205491665768E-2</v>
      </c>
      <c r="Q1269">
        <v>4.4948850293116997E-4</v>
      </c>
      <c r="R1269">
        <v>8.6185663899596783E-4</v>
      </c>
      <c r="S1269">
        <v>7.289601867091372E-2</v>
      </c>
      <c r="T1269">
        <v>0.83307336023853262</v>
      </c>
      <c r="U1269">
        <v>0</v>
      </c>
      <c r="V1269">
        <v>9.1832497499118509E-2</v>
      </c>
      <c r="W1269">
        <v>4.9266955183606478E-2</v>
      </c>
      <c r="X1269">
        <v>6.8018359460473594E-3</v>
      </c>
      <c r="Y1269">
        <v>2.3456896603823358E-3</v>
      </c>
    </row>
    <row r="1270" spans="1:25" x14ac:dyDescent="0.25">
      <c r="A1270" s="1096"/>
      <c r="B1270" s="1455">
        <v>1020</v>
      </c>
      <c r="C1270" s="1100">
        <v>1.0078963657159343</v>
      </c>
      <c r="D1270" s="1100">
        <v>1.01286100109101</v>
      </c>
      <c r="E1270" s="1100">
        <v>0.98836007534993164</v>
      </c>
      <c r="F1270" s="1100">
        <v>1.0144911961832281</v>
      </c>
      <c r="G1270" s="1100">
        <v>1.0397222969188238</v>
      </c>
      <c r="H1270" s="1100">
        <v>1.0356169760951639</v>
      </c>
      <c r="I1270" s="1100">
        <v>0.95828901710920567</v>
      </c>
      <c r="K1270">
        <v>1.1614598748858902</v>
      </c>
      <c r="L1270">
        <v>0</v>
      </c>
      <c r="M1270">
        <v>8.385858015868173E-4</v>
      </c>
      <c r="N1270">
        <v>7.4506090533742131E-2</v>
      </c>
      <c r="O1270">
        <v>1.0212069808706628E-2</v>
      </c>
      <c r="P1270">
        <v>1.3571337919814597E-2</v>
      </c>
      <c r="Q1270">
        <v>4.3826593872221451E-4</v>
      </c>
      <c r="R1270">
        <v>8.3679241498064928E-4</v>
      </c>
      <c r="S1270">
        <v>7.0183876056498881E-2</v>
      </c>
      <c r="T1270">
        <v>0.84041054641009338</v>
      </c>
      <c r="U1270">
        <v>0</v>
      </c>
      <c r="V1270">
        <v>9.3598417609253429E-2</v>
      </c>
      <c r="W1270">
        <v>4.92867943916847E-2</v>
      </c>
      <c r="X1270">
        <v>6.9767964989485547E-3</v>
      </c>
      <c r="Y1270">
        <v>2.2774731050318651E-3</v>
      </c>
    </row>
    <row r="1271" spans="1:25" x14ac:dyDescent="0.25">
      <c r="A1271" s="1096"/>
      <c r="B1271" s="1455">
        <v>1021</v>
      </c>
      <c r="C1271" s="1100">
        <v>0.98074783283745193</v>
      </c>
      <c r="D1271" s="1100">
        <v>1.0187991187797567</v>
      </c>
      <c r="E1271" s="1100">
        <v>0.98176123090349887</v>
      </c>
      <c r="F1271" s="1100">
        <v>1.0216882538297041</v>
      </c>
      <c r="G1271" s="1100">
        <v>1.0007444626460642</v>
      </c>
      <c r="H1271" s="1100">
        <v>0.99872345934907458</v>
      </c>
      <c r="I1271" s="1100">
        <v>1.004793829420463</v>
      </c>
      <c r="K1271">
        <v>1.16888371391213</v>
      </c>
      <c r="L1271">
        <v>0</v>
      </c>
      <c r="M1271">
        <v>8.4055734983830494E-4</v>
      </c>
      <c r="N1271">
        <v>7.3199716639546678E-2</v>
      </c>
      <c r="O1271">
        <v>1.0468063599527977E-2</v>
      </c>
      <c r="P1271">
        <v>1.3626225843445349E-2</v>
      </c>
      <c r="Q1271">
        <v>4.4625761935999578E-4</v>
      </c>
      <c r="R1271">
        <v>8.3869334224758027E-4</v>
      </c>
      <c r="S1271">
        <v>7.3867560076775432E-2</v>
      </c>
      <c r="T1271">
        <v>0.84682224223989244</v>
      </c>
      <c r="U1271">
        <v>0</v>
      </c>
      <c r="V1271">
        <v>9.2611262689043641E-2</v>
      </c>
      <c r="W1271">
        <v>4.8615162004812862E-2</v>
      </c>
      <c r="X1271">
        <v>6.9464404049037762E-3</v>
      </c>
      <c r="Y1271">
        <v>2.2826468024119461E-3</v>
      </c>
    </row>
    <row r="1272" spans="1:25" x14ac:dyDescent="0.25">
      <c r="A1272" s="1096"/>
      <c r="B1272" s="1455">
        <v>1022</v>
      </c>
      <c r="C1272" s="1100">
        <v>1.0068465596703859</v>
      </c>
      <c r="D1272" s="1100">
        <v>0.98466897689383059</v>
      </c>
      <c r="E1272" s="1100">
        <v>0.97417931961731208</v>
      </c>
      <c r="F1272" s="1100">
        <v>1.0115828862269076</v>
      </c>
      <c r="G1272" s="1100">
        <v>0.99447653125881164</v>
      </c>
      <c r="H1272" s="1100">
        <v>0.98954804315273481</v>
      </c>
      <c r="I1272" s="1100">
        <v>1.017402151769967</v>
      </c>
      <c r="K1272">
        <v>1.1561416054343592</v>
      </c>
      <c r="L1272">
        <v>0</v>
      </c>
      <c r="M1272">
        <v>8.3537009820695742E-4</v>
      </c>
      <c r="N1272">
        <v>7.1096414299464214E-2</v>
      </c>
      <c r="O1272">
        <v>1.0334177177528268E-2</v>
      </c>
      <c r="P1272">
        <v>1.3428740952989196E-2</v>
      </c>
      <c r="Q1272">
        <v>4.371642417788338E-4</v>
      </c>
      <c r="R1272">
        <v>8.3350041675635549E-4</v>
      </c>
      <c r="S1272">
        <v>7.3752946283720713E-2</v>
      </c>
      <c r="T1272">
        <v>0.83895968921893271</v>
      </c>
      <c r="U1272">
        <v>0</v>
      </c>
      <c r="V1272">
        <v>9.1687385981973291E-2</v>
      </c>
      <c r="W1272">
        <v>4.7435283438990776E-2</v>
      </c>
      <c r="X1272">
        <v>6.7431601493586919E-3</v>
      </c>
      <c r="Y1272">
        <v>2.2685133710722599E-3</v>
      </c>
    </row>
    <row r="1273" spans="1:25" x14ac:dyDescent="0.25">
      <c r="A1273" s="1096"/>
      <c r="B1273" s="1455">
        <v>1023</v>
      </c>
      <c r="C1273" s="1100">
        <v>1.0019347689971319</v>
      </c>
      <c r="D1273" s="1100">
        <v>1.0164409394433871</v>
      </c>
      <c r="E1273" s="1100">
        <v>1.0204719391475803</v>
      </c>
      <c r="F1273" s="1100">
        <v>1.0005316937036692</v>
      </c>
      <c r="G1273" s="1100">
        <v>1.0016044519200453</v>
      </c>
      <c r="H1273" s="1100">
        <v>1.0052821523285891</v>
      </c>
      <c r="I1273" s="1100">
        <v>0.97614527091055614</v>
      </c>
      <c r="K1273">
        <v>1.1469356913286859</v>
      </c>
      <c r="L1273">
        <v>0</v>
      </c>
      <c r="M1273">
        <v>7.6498340767183759E-4</v>
      </c>
      <c r="N1273">
        <v>7.4883897929786433E-2</v>
      </c>
      <c r="O1273">
        <v>1.0268773382404768E-2</v>
      </c>
      <c r="P1273">
        <v>1.3695736985762548E-2</v>
      </c>
      <c r="Q1273">
        <v>4.5512094549277602E-4</v>
      </c>
      <c r="R1273">
        <v>7.632980595508375E-4</v>
      </c>
      <c r="S1273">
        <v>7.0629813677533945E-2</v>
      </c>
      <c r="T1273">
        <v>0.82672392145785856</v>
      </c>
      <c r="U1273">
        <v>0</v>
      </c>
      <c r="V1273">
        <v>9.2119594808350691E-2</v>
      </c>
      <c r="W1273">
        <v>4.8603445216697398E-2</v>
      </c>
      <c r="X1273">
        <v>7.4796265759581679E-3</v>
      </c>
      <c r="Y1273">
        <v>2.0774456969596734E-3</v>
      </c>
    </row>
    <row r="1274" spans="1:25" x14ac:dyDescent="0.25">
      <c r="A1274" s="1096"/>
      <c r="B1274" s="1455">
        <v>1024</v>
      </c>
      <c r="C1274" s="1100">
        <v>0.97985802140757727</v>
      </c>
      <c r="D1274" s="1100">
        <v>0.99958504284962346</v>
      </c>
      <c r="E1274" s="1100">
        <v>0.99678553728836761</v>
      </c>
      <c r="F1274" s="1100">
        <v>1.0075419705032431</v>
      </c>
      <c r="G1274" s="1100">
        <v>1.0054695471271327</v>
      </c>
      <c r="H1274" s="1100">
        <v>1.0324170796800498</v>
      </c>
      <c r="I1274" s="1100">
        <v>1.0068402657474969</v>
      </c>
      <c r="K1274">
        <v>1.1657220199140927</v>
      </c>
      <c r="L1274">
        <v>0</v>
      </c>
      <c r="M1274">
        <v>8.4950693105661623E-4</v>
      </c>
      <c r="N1274">
        <v>7.7422888833944672E-2</v>
      </c>
      <c r="O1274">
        <v>1.0562680779388855E-2</v>
      </c>
      <c r="P1274">
        <v>1.3643731330336667E-2</v>
      </c>
      <c r="Q1274">
        <v>4.5718434752020642E-4</v>
      </c>
      <c r="R1274">
        <v>8.4768455784051111E-4</v>
      </c>
      <c r="S1274">
        <v>7.6239409205482847E-2</v>
      </c>
      <c r="T1274">
        <v>0.83408971234490659</v>
      </c>
      <c r="U1274">
        <v>0</v>
      </c>
      <c r="V1274">
        <v>9.2838456798946187E-2</v>
      </c>
      <c r="W1274">
        <v>5.0958962440544382E-2</v>
      </c>
      <c r="X1274">
        <v>7.2036982789349582E-3</v>
      </c>
      <c r="Y1274">
        <v>2.3071179273024796E-3</v>
      </c>
    </row>
    <row r="1275" spans="1:25" x14ac:dyDescent="0.25">
      <c r="A1275" s="1096"/>
      <c r="B1275" s="1455">
        <v>1025</v>
      </c>
      <c r="C1275" s="1100">
        <v>1.0409046971912934</v>
      </c>
      <c r="D1275" s="1100">
        <v>0.96892532360315409</v>
      </c>
      <c r="E1275" s="1100">
        <v>1.0137665357273453</v>
      </c>
      <c r="F1275" s="1100">
        <v>1.0163800055193872</v>
      </c>
      <c r="G1275" s="1100">
        <v>0.99004068142877855</v>
      </c>
      <c r="H1275" s="1100">
        <v>1.007214890698757</v>
      </c>
      <c r="I1275" s="1100">
        <v>0.97642545940037984</v>
      </c>
      <c r="K1275">
        <v>1.1552838280000195</v>
      </c>
      <c r="L1275">
        <v>0</v>
      </c>
      <c r="M1275">
        <v>7.6258436646931937E-4</v>
      </c>
      <c r="N1275">
        <v>7.3154167549966925E-2</v>
      </c>
      <c r="O1275">
        <v>1.0073293715373572E-2</v>
      </c>
      <c r="P1275">
        <v>1.3783314466046545E-2</v>
      </c>
      <c r="Q1275">
        <v>4.4348617479357408E-4</v>
      </c>
      <c r="R1275">
        <v>7.609075275792456E-4</v>
      </c>
      <c r="S1275">
        <v>6.976377617093607E-2</v>
      </c>
      <c r="T1275">
        <v>0.84026655791120419</v>
      </c>
      <c r="U1275">
        <v>0</v>
      </c>
      <c r="V1275">
        <v>9.0697979119790315E-2</v>
      </c>
      <c r="W1275">
        <v>4.7667820657218148E-2</v>
      </c>
      <c r="X1275">
        <v>7.3641696166077365E-3</v>
      </c>
      <c r="Y1275">
        <v>2.0709394569716523E-3</v>
      </c>
    </row>
    <row r="1276" spans="1:25" x14ac:dyDescent="0.25">
      <c r="A1276" s="1096"/>
      <c r="B1276" s="1455">
        <v>1026</v>
      </c>
      <c r="C1276" s="1100">
        <v>0.97797933129079129</v>
      </c>
      <c r="D1276" s="1100">
        <v>1.0390517023077388</v>
      </c>
      <c r="E1276" s="1100">
        <v>0.99670723507754</v>
      </c>
      <c r="F1276" s="1100">
        <v>1.0201901023894331</v>
      </c>
      <c r="G1276" s="1100">
        <v>0.99109043948288567</v>
      </c>
      <c r="H1276" s="1100">
        <v>1.014474398992868</v>
      </c>
      <c r="I1276" s="1100">
        <v>1.003373911908972</v>
      </c>
      <c r="K1276">
        <v>1.1692191162443011</v>
      </c>
      <c r="L1276">
        <v>0</v>
      </c>
      <c r="M1276">
        <v>8.2362563130059852E-4</v>
      </c>
      <c r="N1276">
        <v>7.5043489504269353E-2</v>
      </c>
      <c r="O1276">
        <v>1.0420284872938286E-2</v>
      </c>
      <c r="P1276">
        <v>1.3745747297819421E-2</v>
      </c>
      <c r="Q1276">
        <v>4.5098546626017532E-4</v>
      </c>
      <c r="R1276">
        <v>8.2182752923658058E-4</v>
      </c>
      <c r="S1276">
        <v>7.3894323892848293E-2</v>
      </c>
      <c r="T1276">
        <v>0.84456571632973521</v>
      </c>
      <c r="U1276">
        <v>0</v>
      </c>
      <c r="V1276">
        <v>9.2272244513865453E-2</v>
      </c>
      <c r="W1276">
        <v>4.939517050498575E-2</v>
      </c>
      <c r="X1276">
        <v>7.1962083444326612E-3</v>
      </c>
      <c r="Y1276">
        <v>2.2367436192097701E-3</v>
      </c>
    </row>
    <row r="1277" spans="1:25" x14ac:dyDescent="0.25">
      <c r="A1277" s="1096"/>
      <c r="B1277" s="1455">
        <v>1027</v>
      </c>
      <c r="C1277" s="1100">
        <v>1.0337682424397614</v>
      </c>
      <c r="D1277" s="1100">
        <v>1.0015744617937592</v>
      </c>
      <c r="E1277" s="1100">
        <v>0.97888114265552983</v>
      </c>
      <c r="F1277" s="1100">
        <v>0.98536325853368845</v>
      </c>
      <c r="G1277" s="1100">
        <v>0.96472894978883006</v>
      </c>
      <c r="H1277" s="1100">
        <v>1.0111074061802146</v>
      </c>
      <c r="I1277" s="1100">
        <v>0.97266120507336162</v>
      </c>
      <c r="K1277">
        <v>1.1255022429138737</v>
      </c>
      <c r="L1277">
        <v>0</v>
      </c>
      <c r="M1277">
        <v>8.1771548106408516E-4</v>
      </c>
      <c r="N1277">
        <v>7.0594629935181979E-2</v>
      </c>
      <c r="O1277">
        <v>9.9982316283026527E-3</v>
      </c>
      <c r="P1277">
        <v>1.3090305543444642E-2</v>
      </c>
      <c r="Q1277">
        <v>4.2498284101289183E-4</v>
      </c>
      <c r="R1277">
        <v>8.1592433704885052E-4</v>
      </c>
      <c r="S1277">
        <v>6.8904513473702467E-2</v>
      </c>
      <c r="T1277">
        <v>0.81690410668879798</v>
      </c>
      <c r="U1277">
        <v>0</v>
      </c>
      <c r="V1277">
        <v>8.9774991850381E-2</v>
      </c>
      <c r="W1277">
        <v>4.6966595194841726E-2</v>
      </c>
      <c r="X1277">
        <v>6.6249998261611563E-3</v>
      </c>
      <c r="Y1277">
        <v>2.2206770760615497E-3</v>
      </c>
    </row>
    <row r="1278" spans="1:25" x14ac:dyDescent="0.25">
      <c r="A1278" s="1096"/>
      <c r="B1278" s="1455">
        <v>1028</v>
      </c>
      <c r="C1278" s="1100">
        <v>1.0061807963895553</v>
      </c>
      <c r="D1278" s="1100">
        <v>0.99455124919908555</v>
      </c>
      <c r="E1278" s="1100">
        <v>1.0061598504696303</v>
      </c>
      <c r="F1278" s="1100">
        <v>1.0105644494110164</v>
      </c>
      <c r="G1278" s="1100">
        <v>1.0075183365943519</v>
      </c>
      <c r="H1278" s="1100">
        <v>1.0242561618214081</v>
      </c>
      <c r="I1278" s="1100">
        <v>1.0356846809610292</v>
      </c>
      <c r="K1278">
        <v>1.1636066913759342</v>
      </c>
      <c r="L1278">
        <v>0</v>
      </c>
      <c r="M1278">
        <v>8.0656175943502866E-4</v>
      </c>
      <c r="N1278">
        <v>7.5619066811759547E-2</v>
      </c>
      <c r="O1278">
        <v>1.0310200074784993E-2</v>
      </c>
      <c r="P1278">
        <v>1.3757275287000211E-2</v>
      </c>
      <c r="Q1278">
        <v>4.5047766448162171E-4</v>
      </c>
      <c r="R1278">
        <v>8.0481772674906521E-4</v>
      </c>
      <c r="S1278">
        <v>7.6238386825728324E-2</v>
      </c>
      <c r="T1278">
        <v>0.83596513110120818</v>
      </c>
      <c r="U1278">
        <v>0</v>
      </c>
      <c r="V1278">
        <v>9.2265755560513141E-2</v>
      </c>
      <c r="W1278">
        <v>4.9495488767605594E-2</v>
      </c>
      <c r="X1278">
        <v>7.3162047714187099E-3</v>
      </c>
      <c r="Y1278">
        <v>2.1904485441186354E-3</v>
      </c>
    </row>
    <row r="1279" spans="1:25" x14ac:dyDescent="0.25">
      <c r="A1279" s="1096"/>
      <c r="B1279" s="1455">
        <v>1029</v>
      </c>
      <c r="C1279" s="1100">
        <v>1.0309309601971519</v>
      </c>
      <c r="D1279" s="1100">
        <v>0.96806094022293121</v>
      </c>
      <c r="E1279" s="1100">
        <v>0.9592329411681636</v>
      </c>
      <c r="F1279" s="1100">
        <v>1.0108570455216104</v>
      </c>
      <c r="G1279" s="1100">
        <v>1.0259821386266241</v>
      </c>
      <c r="H1279" s="1100">
        <v>1.0314347120870764</v>
      </c>
      <c r="I1279" s="1100">
        <v>0.97368256487175675</v>
      </c>
      <c r="K1279">
        <v>1.1558636332605576</v>
      </c>
      <c r="L1279">
        <v>0</v>
      </c>
      <c r="M1279">
        <v>8.8301081093205983E-4</v>
      </c>
      <c r="N1279">
        <v>7.1831539585288845E-2</v>
      </c>
      <c r="O1279">
        <v>1.0156878391047165E-2</v>
      </c>
      <c r="P1279">
        <v>1.3256404887577065E-2</v>
      </c>
      <c r="Q1279">
        <v>4.2313827601922049E-4</v>
      </c>
      <c r="R1279">
        <v>8.8111476062745057E-4</v>
      </c>
      <c r="S1279">
        <v>7.1153576106935887E-2</v>
      </c>
      <c r="T1279">
        <v>0.83937424532352856</v>
      </c>
      <c r="U1279">
        <v>0</v>
      </c>
      <c r="V1279">
        <v>9.2458693387141605E-2</v>
      </c>
      <c r="W1279">
        <v>4.8364875590170969E-2</v>
      </c>
      <c r="X1279">
        <v>6.4480738441275278E-3</v>
      </c>
      <c r="Y1279">
        <v>2.3981039190251424E-3</v>
      </c>
    </row>
    <row r="1280" spans="1:25" x14ac:dyDescent="0.25">
      <c r="A1280" s="1096"/>
      <c r="B1280" s="1455">
        <v>1030</v>
      </c>
      <c r="C1280" s="1100">
        <v>0.99803220976320095</v>
      </c>
      <c r="D1280" s="1100">
        <v>0.98542094030714433</v>
      </c>
      <c r="E1280" s="1100">
        <v>1.0269385955991712</v>
      </c>
      <c r="F1280" s="1100">
        <v>0.98571481207131861</v>
      </c>
      <c r="G1280" s="1100">
        <v>0.97417907843313911</v>
      </c>
      <c r="H1280" s="1100">
        <v>0.98863425194515442</v>
      </c>
      <c r="I1280" s="1100">
        <v>1.0441383023730415</v>
      </c>
      <c r="K1280">
        <v>1.1396539867435151</v>
      </c>
      <c r="L1280">
        <v>0</v>
      </c>
      <c r="M1280">
        <v>7.5445279744502708E-4</v>
      </c>
      <c r="N1280">
        <v>7.5304770067339183E-2</v>
      </c>
      <c r="O1280">
        <v>1.0439667713756781E-2</v>
      </c>
      <c r="P1280">
        <v>1.3649373208139175E-2</v>
      </c>
      <c r="Q1280">
        <v>4.656731871969771E-4</v>
      </c>
      <c r="R1280">
        <v>7.5276266009885906E-4</v>
      </c>
      <c r="S1280">
        <v>7.6355421717607994E-2</v>
      </c>
      <c r="T1280">
        <v>0.81406384974976465</v>
      </c>
      <c r="U1280">
        <v>0</v>
      </c>
      <c r="V1280">
        <v>9.1045379656674086E-2</v>
      </c>
      <c r="W1280">
        <v>4.8692580687135806E-2</v>
      </c>
      <c r="X1280">
        <v>7.590189080601913E-3</v>
      </c>
      <c r="Y1280">
        <v>2.0487718126448841E-3</v>
      </c>
    </row>
    <row r="1281" spans="1:25" x14ac:dyDescent="0.25">
      <c r="A1281" s="1096"/>
      <c r="B1281" s="1455">
        <v>1031</v>
      </c>
      <c r="C1281" s="1100">
        <v>1.0107421151885654</v>
      </c>
      <c r="D1281" s="1100">
        <v>1.0085722649968962</v>
      </c>
      <c r="E1281" s="1100">
        <v>0.99555507624347384</v>
      </c>
      <c r="F1281" s="1100">
        <v>0.98786230348617976</v>
      </c>
      <c r="G1281" s="1100">
        <v>1.0160331173931481</v>
      </c>
      <c r="H1281" s="1100">
        <v>1.0222009904703557</v>
      </c>
      <c r="I1281" s="1100">
        <v>1.0148157844914227</v>
      </c>
      <c r="K1281">
        <v>1.1400406583443596</v>
      </c>
      <c r="L1281">
        <v>0</v>
      </c>
      <c r="M1281">
        <v>8.1456123312085541E-4</v>
      </c>
      <c r="N1281">
        <v>7.3960853193234075E-2</v>
      </c>
      <c r="O1281">
        <v>1.0202935572333285E-2</v>
      </c>
      <c r="P1281">
        <v>1.3372521277685626E-2</v>
      </c>
      <c r="Q1281">
        <v>4.4106647830197392E-4</v>
      </c>
      <c r="R1281">
        <v>8.1279636191492746E-4</v>
      </c>
      <c r="S1281">
        <v>7.3737899816776101E-2</v>
      </c>
      <c r="T1281">
        <v>0.8178786006959895</v>
      </c>
      <c r="U1281">
        <v>0</v>
      </c>
      <c r="V1281">
        <v>9.2517154938933296E-2</v>
      </c>
      <c r="W1281">
        <v>4.8716007339749276E-2</v>
      </c>
      <c r="X1281">
        <v>7.003220143677177E-3</v>
      </c>
      <c r="Y1281">
        <v>2.2121637588837367E-3</v>
      </c>
    </row>
    <row r="1282" spans="1:25" x14ac:dyDescent="0.25">
      <c r="A1282" s="1096"/>
      <c r="B1282" s="1455">
        <v>1032</v>
      </c>
      <c r="C1282" s="1100">
        <v>0.98708508978527454</v>
      </c>
      <c r="D1282" s="1100">
        <v>0.95189935353866495</v>
      </c>
      <c r="E1282" s="1100">
        <v>0.98280692042368722</v>
      </c>
      <c r="F1282" s="1100">
        <v>1.0290964825955213</v>
      </c>
      <c r="G1282" s="1100">
        <v>0.97587747369929012</v>
      </c>
      <c r="H1282" s="1100">
        <v>1.0035562770405306</v>
      </c>
      <c r="I1282" s="1100">
        <v>0.99358136931213192</v>
      </c>
      <c r="K1282">
        <v>1.1789378313769849</v>
      </c>
      <c r="L1282">
        <v>0</v>
      </c>
      <c r="M1282">
        <v>8.6045112551359109E-4</v>
      </c>
      <c r="N1282">
        <v>7.5170378851262251E-2</v>
      </c>
      <c r="O1282">
        <v>1.0687655805143892E-2</v>
      </c>
      <c r="P1282">
        <v>1.3722230459112417E-2</v>
      </c>
      <c r="Q1282">
        <v>4.5610281082413473E-4</v>
      </c>
      <c r="R1282">
        <v>8.5855219071486702E-4</v>
      </c>
      <c r="S1282">
        <v>7.5354908666621173E-2</v>
      </c>
      <c r="T1282">
        <v>0.85289066212170328</v>
      </c>
      <c r="U1282">
        <v>0</v>
      </c>
      <c r="V1282">
        <v>9.1385799511932972E-2</v>
      </c>
      <c r="W1282">
        <v>4.9892510080780154E-2</v>
      </c>
      <c r="X1282">
        <v>7.0427859629311404E-3</v>
      </c>
      <c r="Y1282">
        <v>2.3366960414722619E-3</v>
      </c>
    </row>
    <row r="1283" spans="1:25" x14ac:dyDescent="0.25">
      <c r="A1283" s="1096"/>
      <c r="B1283" s="1455">
        <v>1033</v>
      </c>
      <c r="C1283" s="1100">
        <v>0.99967433944069495</v>
      </c>
      <c r="D1283" s="1100">
        <v>0.95861281719809111</v>
      </c>
      <c r="E1283" s="1100">
        <v>1.0002801814870834</v>
      </c>
      <c r="F1283" s="1100">
        <v>1.0109272555917199</v>
      </c>
      <c r="G1283" s="1100">
        <v>1.0199424497021115</v>
      </c>
      <c r="H1283" s="1100">
        <v>0.97516869294901665</v>
      </c>
      <c r="I1283" s="1100">
        <v>0.9837039430785085</v>
      </c>
      <c r="K1283">
        <v>1.1570584699949613</v>
      </c>
      <c r="L1283">
        <v>0</v>
      </c>
      <c r="M1283">
        <v>7.9399769959368903E-4</v>
      </c>
      <c r="N1283">
        <v>7.3122777877320674E-2</v>
      </c>
      <c r="O1283">
        <v>1.0529248100801868E-2</v>
      </c>
      <c r="P1283">
        <v>1.3661812128090294E-2</v>
      </c>
      <c r="Q1283">
        <v>4.5734229039452214E-4</v>
      </c>
      <c r="R1283">
        <v>7.921944116799027E-4</v>
      </c>
      <c r="S1283">
        <v>7.2265265548606544E-2</v>
      </c>
      <c r="T1283">
        <v>0.83665814939983651</v>
      </c>
      <c r="U1283">
        <v>0</v>
      </c>
      <c r="V1283">
        <v>9.2956385526605637E-2</v>
      </c>
      <c r="W1283">
        <v>4.8028696506334609E-2</v>
      </c>
      <c r="X1283">
        <v>7.2245038631084148E-3</v>
      </c>
      <c r="Y1283">
        <v>2.1560920417750696E-3</v>
      </c>
    </row>
    <row r="1284" spans="1:25" x14ac:dyDescent="0.25">
      <c r="A1284" s="1096"/>
      <c r="B1284" s="1455">
        <v>1034</v>
      </c>
      <c r="C1284" s="1100">
        <v>0.98944468488977622</v>
      </c>
      <c r="D1284" s="1100">
        <v>1.0368950434488746</v>
      </c>
      <c r="E1284" s="1100">
        <v>0.97278954961255937</v>
      </c>
      <c r="F1284" s="1100">
        <v>1.009625408937068</v>
      </c>
      <c r="G1284" s="1100">
        <v>1.0014464238037006</v>
      </c>
      <c r="H1284" s="1100">
        <v>1.0244497502746612</v>
      </c>
      <c r="I1284" s="1100">
        <v>0.97544410276904514</v>
      </c>
      <c r="K1284">
        <v>1.1566563978990887</v>
      </c>
      <c r="L1284">
        <v>0</v>
      </c>
      <c r="M1284">
        <v>8.6451673337399821E-4</v>
      </c>
      <c r="N1284">
        <v>7.3273728776979519E-2</v>
      </c>
      <c r="O1284">
        <v>1.0300322779675599E-2</v>
      </c>
      <c r="P1284">
        <v>1.3372991006275127E-2</v>
      </c>
      <c r="Q1284">
        <v>4.3511480999734595E-4</v>
      </c>
      <c r="R1284">
        <v>8.6264773759413434E-4</v>
      </c>
      <c r="S1284">
        <v>7.1447285698005361E-2</v>
      </c>
      <c r="T1284">
        <v>0.83743034762823132</v>
      </c>
      <c r="U1284">
        <v>0</v>
      </c>
      <c r="V1284">
        <v>9.241803248586547E-2</v>
      </c>
      <c r="W1284">
        <v>4.8929235740933448E-2</v>
      </c>
      <c r="X1284">
        <v>6.703365198922822E-3</v>
      </c>
      <c r="Y1284">
        <v>2.3478427699809628E-3</v>
      </c>
    </row>
    <row r="1285" spans="1:25" x14ac:dyDescent="0.25">
      <c r="A1285" s="1096"/>
      <c r="B1285" s="1455">
        <v>1035</v>
      </c>
      <c r="C1285" s="1100">
        <v>1.0216683273911449</v>
      </c>
      <c r="D1285" s="1100">
        <v>1.0062551190188689</v>
      </c>
      <c r="E1285" s="1100">
        <v>1.0160732675765516</v>
      </c>
      <c r="F1285" s="1100">
        <v>0.98058538695710296</v>
      </c>
      <c r="G1285" s="1100">
        <v>1.024827563691064</v>
      </c>
      <c r="H1285" s="1100">
        <v>1.0092354635046485</v>
      </c>
      <c r="I1285" s="1100">
        <v>0.99619633783102868</v>
      </c>
      <c r="K1285">
        <v>1.1294161795405329</v>
      </c>
      <c r="L1285">
        <v>0</v>
      </c>
      <c r="M1285">
        <v>7.6314906164738085E-4</v>
      </c>
      <c r="N1285">
        <v>7.3720081872961626E-2</v>
      </c>
      <c r="O1285">
        <v>1.0109674133528897E-2</v>
      </c>
      <c r="P1285">
        <v>1.3443146272153914E-2</v>
      </c>
      <c r="Q1285">
        <v>4.461125806899483E-4</v>
      </c>
      <c r="R1285">
        <v>7.6147434071094106E-4</v>
      </c>
      <c r="S1285">
        <v>7.1205767101035058E-2</v>
      </c>
      <c r="T1285">
        <v>0.81052560081389813</v>
      </c>
      <c r="U1285">
        <v>0</v>
      </c>
      <c r="V1285">
        <v>9.2633624315392127E-2</v>
      </c>
      <c r="W1285">
        <v>4.7971530997899484E-2</v>
      </c>
      <c r="X1285">
        <v>7.2898340384429487E-3</v>
      </c>
      <c r="Y1285">
        <v>2.0724821354662294E-3</v>
      </c>
    </row>
    <row r="1286" spans="1:25" x14ac:dyDescent="0.25">
      <c r="A1286" s="1096"/>
      <c r="B1286" s="1455">
        <v>1036</v>
      </c>
      <c r="C1286" s="1100">
        <v>0.97812038035820981</v>
      </c>
      <c r="D1286" s="1100">
        <v>0.98139999306656422</v>
      </c>
      <c r="E1286" s="1100">
        <v>1.0363287133413597</v>
      </c>
      <c r="F1286" s="1100">
        <v>0.97371707700291454</v>
      </c>
      <c r="G1286" s="1100">
        <v>0.98253189352106163</v>
      </c>
      <c r="H1286" s="1100">
        <v>0.95612101636226665</v>
      </c>
      <c r="I1286" s="1100">
        <v>0.98381399086868004</v>
      </c>
      <c r="K1286">
        <v>1.1254799288071038</v>
      </c>
      <c r="L1286">
        <v>0</v>
      </c>
      <c r="M1286">
        <v>7.3126023891897202E-4</v>
      </c>
      <c r="N1286">
        <v>7.5079505034514105E-2</v>
      </c>
      <c r="O1286">
        <v>1.0672807454379764E-2</v>
      </c>
      <c r="P1286">
        <v>1.35500412110485E-2</v>
      </c>
      <c r="Q1286">
        <v>4.8050907792114719E-4</v>
      </c>
      <c r="R1286">
        <v>7.295663509888921E-4</v>
      </c>
      <c r="S1286">
        <v>7.2233136864523803E-2</v>
      </c>
      <c r="T1286">
        <v>0.80355942630072363</v>
      </c>
      <c r="U1286">
        <v>0</v>
      </c>
      <c r="V1286">
        <v>9.1909895898653934E-2</v>
      </c>
      <c r="W1286">
        <v>4.8283362576370954E-2</v>
      </c>
      <c r="X1286">
        <v>7.7272991709886685E-3</v>
      </c>
      <c r="Y1286">
        <v>1.9856391059087965E-3</v>
      </c>
    </row>
    <row r="1287" spans="1:25" x14ac:dyDescent="0.25">
      <c r="A1287" s="1096"/>
      <c r="B1287" s="1455">
        <v>1037</v>
      </c>
      <c r="C1287" s="1100">
        <v>1.0093740352014411</v>
      </c>
      <c r="D1287" s="1100">
        <v>1.0010297045727847</v>
      </c>
      <c r="E1287" s="1100">
        <v>0.97507148286176637</v>
      </c>
      <c r="F1287" s="1100">
        <v>0.98473629509175598</v>
      </c>
      <c r="G1287" s="1100">
        <v>1.0010477978727204</v>
      </c>
      <c r="H1287" s="1100">
        <v>0.99989378810897611</v>
      </c>
      <c r="I1287" s="1100">
        <v>1.0070819697621798</v>
      </c>
      <c r="K1287">
        <v>1.1326364188626501</v>
      </c>
      <c r="L1287">
        <v>0</v>
      </c>
      <c r="M1287">
        <v>8.3491813057305956E-4</v>
      </c>
      <c r="N1287">
        <v>7.1251749862270133E-2</v>
      </c>
      <c r="O1287">
        <v>1.0240863888303748E-2</v>
      </c>
      <c r="P1287">
        <v>1.3127155093036974E-2</v>
      </c>
      <c r="Q1287">
        <v>4.3361102645491257E-4</v>
      </c>
      <c r="R1287">
        <v>8.3306879552824198E-4</v>
      </c>
      <c r="S1287">
        <v>7.2628215130592116E-2</v>
      </c>
      <c r="T1287">
        <v>0.81663549279689607</v>
      </c>
      <c r="U1287">
        <v>0</v>
      </c>
      <c r="V1287">
        <v>9.1906942483848605E-2</v>
      </c>
      <c r="W1287">
        <v>4.7513210711651141E-2</v>
      </c>
      <c r="X1287">
        <v>6.633688564266149E-3</v>
      </c>
      <c r="Y1287">
        <v>2.2673386403732347E-3</v>
      </c>
    </row>
    <row r="1288" spans="1:25" x14ac:dyDescent="0.25">
      <c r="A1288" s="1096"/>
      <c r="B1288" s="1455">
        <v>1038</v>
      </c>
      <c r="C1288" s="1100">
        <v>0.97573356381744181</v>
      </c>
      <c r="D1288" s="1100">
        <v>1.0300548513423009</v>
      </c>
      <c r="E1288" s="1100">
        <v>0.99525151655462318</v>
      </c>
      <c r="F1288" s="1100">
        <v>1.0055595077280515</v>
      </c>
      <c r="G1288" s="1100">
        <v>1.0488084551094452</v>
      </c>
      <c r="H1288" s="1100">
        <v>0.99027526734502103</v>
      </c>
      <c r="I1288" s="1100">
        <v>1.0437947896002204</v>
      </c>
      <c r="K1288">
        <v>1.1596480896013532</v>
      </c>
      <c r="L1288">
        <v>0</v>
      </c>
      <c r="M1288">
        <v>8.1108137119186648E-4</v>
      </c>
      <c r="N1288">
        <v>7.3572203715264933E-2</v>
      </c>
      <c r="O1288">
        <v>1.0480180506070486E-2</v>
      </c>
      <c r="P1288">
        <v>1.3635283461980067E-2</v>
      </c>
      <c r="Q1288">
        <v>4.5291303049926429E-4</v>
      </c>
      <c r="R1288">
        <v>8.092673846020914E-4</v>
      </c>
      <c r="S1288">
        <v>7.6349071858955092E-2</v>
      </c>
      <c r="T1288">
        <v>0.83255086120641764</v>
      </c>
      <c r="U1288">
        <v>0</v>
      </c>
      <c r="V1288">
        <v>9.4798141137471995E-2</v>
      </c>
      <c r="W1288">
        <v>4.8468790188825647E-2</v>
      </c>
      <c r="X1288">
        <v>7.1398994364926726E-3</v>
      </c>
      <c r="Y1288">
        <v>2.2025590459652565E-3</v>
      </c>
    </row>
    <row r="1289" spans="1:25" x14ac:dyDescent="0.25">
      <c r="A1289" s="1096"/>
      <c r="B1289" s="1455">
        <v>1039</v>
      </c>
      <c r="C1289" s="1100">
        <v>0.99460388053284521</v>
      </c>
      <c r="D1289" s="1100">
        <v>1.0326601843686389</v>
      </c>
      <c r="E1289" s="1100">
        <v>0.99407945019472266</v>
      </c>
      <c r="F1289" s="1100">
        <v>0.99094035320891283</v>
      </c>
      <c r="G1289" s="1100">
        <v>0.9846194719446999</v>
      </c>
      <c r="H1289" s="1100">
        <v>0.99200137702675673</v>
      </c>
      <c r="I1289" s="1100">
        <v>0.99396572272256056</v>
      </c>
      <c r="K1289">
        <v>1.1363134211916863</v>
      </c>
      <c r="L1289">
        <v>0</v>
      </c>
      <c r="M1289">
        <v>7.9821157705073169E-4</v>
      </c>
      <c r="N1289">
        <v>7.2149044929144909E-2</v>
      </c>
      <c r="O1289">
        <v>1.0270579257036807E-2</v>
      </c>
      <c r="P1289">
        <v>1.3347666451798006E-2</v>
      </c>
      <c r="Q1289">
        <v>4.4333071261612613E-4</v>
      </c>
      <c r="R1289">
        <v>7.9642948010754267E-4</v>
      </c>
      <c r="S1289">
        <v>7.1300433176195499E-2</v>
      </c>
      <c r="T1289">
        <v>0.82052405724475519</v>
      </c>
      <c r="U1289">
        <v>0</v>
      </c>
      <c r="V1289">
        <v>9.1571616674740411E-2</v>
      </c>
      <c r="W1289">
        <v>4.7564486628438346E-2</v>
      </c>
      <c r="X1289">
        <v>6.9763697119587468E-3</v>
      </c>
      <c r="Y1289">
        <v>2.1676185019451739E-3</v>
      </c>
    </row>
    <row r="1290" spans="1:25" x14ac:dyDescent="0.25">
      <c r="A1290" s="1096"/>
      <c r="B1290" s="1455">
        <v>1040</v>
      </c>
      <c r="C1290" s="1100">
        <v>1.000073845492448</v>
      </c>
      <c r="D1290" s="1100">
        <v>1.0116265513736442</v>
      </c>
      <c r="E1290" s="1100">
        <v>0.98965221884762633</v>
      </c>
      <c r="F1290" s="1100">
        <v>1.0228016048403981</v>
      </c>
      <c r="G1290" s="1100">
        <v>1.0023178876734882</v>
      </c>
      <c r="H1290" s="1100">
        <v>0.98747043632838583</v>
      </c>
      <c r="I1290" s="1100">
        <v>0.97261432384614477</v>
      </c>
      <c r="K1290">
        <v>1.1620567121806462</v>
      </c>
      <c r="L1290">
        <v>0</v>
      </c>
      <c r="M1290">
        <v>8.0409260477913396E-4</v>
      </c>
      <c r="N1290">
        <v>7.1713636022704155E-2</v>
      </c>
      <c r="O1290">
        <v>1.0297389946743942E-2</v>
      </c>
      <c r="P1290">
        <v>1.365415614162113E-2</v>
      </c>
      <c r="Q1290">
        <v>4.4250545475384964E-4</v>
      </c>
      <c r="R1290">
        <v>8.0228914050486184E-4</v>
      </c>
      <c r="S1290">
        <v>6.9940568184651802E-2</v>
      </c>
      <c r="T1290">
        <v>0.8472069713629542</v>
      </c>
      <c r="U1290">
        <v>0</v>
      </c>
      <c r="V1290">
        <v>9.2191449750846977E-2</v>
      </c>
      <c r="W1290">
        <v>4.7402811364214148E-2</v>
      </c>
      <c r="X1290">
        <v>7.0254608505186129E-3</v>
      </c>
      <c r="Y1290">
        <v>2.1835665659101456E-3</v>
      </c>
    </row>
    <row r="1291" spans="1:25" x14ac:dyDescent="0.25">
      <c r="A1291" s="1096"/>
      <c r="B1291" s="1455">
        <v>1041</v>
      </c>
      <c r="C1291" s="1100">
        <v>0.97617893869081995</v>
      </c>
      <c r="D1291" s="1100">
        <v>0.98385703190480622</v>
      </c>
      <c r="E1291" s="1100">
        <v>1.0058903659018832</v>
      </c>
      <c r="F1291" s="1100">
        <v>1.0174065708054059</v>
      </c>
      <c r="G1291" s="1100">
        <v>1.0076965062350391</v>
      </c>
      <c r="H1291" s="1100">
        <v>0.99022132283686137</v>
      </c>
      <c r="I1291" s="1100">
        <v>0.99632096873592901</v>
      </c>
      <c r="K1291">
        <v>1.1690008627908035</v>
      </c>
      <c r="L1291">
        <v>0</v>
      </c>
      <c r="M1291">
        <v>8.0766073565800064E-4</v>
      </c>
      <c r="N1291">
        <v>7.5654867446133672E-2</v>
      </c>
      <c r="O1291">
        <v>1.067303783995145E-2</v>
      </c>
      <c r="P1291">
        <v>1.3820167829578728E-2</v>
      </c>
      <c r="Q1291">
        <v>4.6620504439368754E-4</v>
      </c>
      <c r="R1291">
        <v>8.058543009284968E-4</v>
      </c>
      <c r="S1291">
        <v>7.4591577911495788E-2</v>
      </c>
      <c r="T1291">
        <v>0.84164320963248906</v>
      </c>
      <c r="U1291">
        <v>0</v>
      </c>
      <c r="V1291">
        <v>9.3030402465334658E-2</v>
      </c>
      <c r="W1291">
        <v>4.952681591785453E-2</v>
      </c>
      <c r="X1291">
        <v>7.4031153809724021E-3</v>
      </c>
      <c r="Y1291">
        <v>2.1932697573284624E-3</v>
      </c>
    </row>
    <row r="1292" spans="1:25" x14ac:dyDescent="0.25">
      <c r="A1292" s="1096"/>
      <c r="B1292" s="1455">
        <v>1042</v>
      </c>
      <c r="C1292" s="1100">
        <v>1.039960265856499</v>
      </c>
      <c r="D1292" s="1100">
        <v>1.0100009054356067</v>
      </c>
      <c r="E1292" s="1100">
        <v>0.99350479254994806</v>
      </c>
      <c r="F1292" s="1100">
        <v>1.0217742872434308</v>
      </c>
      <c r="G1292" s="1100">
        <v>0.96697336484286267</v>
      </c>
      <c r="H1292" s="1100">
        <v>1.0047581259287226</v>
      </c>
      <c r="I1292" s="1100">
        <v>1.0062186658254026</v>
      </c>
      <c r="K1292">
        <v>1.1562036396466497</v>
      </c>
      <c r="L1292">
        <v>0</v>
      </c>
      <c r="M1292">
        <v>7.8103793950879926E-4</v>
      </c>
      <c r="N1292">
        <v>7.0476232876711578E-2</v>
      </c>
      <c r="O1292">
        <v>9.9100243701442502E-3</v>
      </c>
      <c r="P1292">
        <v>1.3650463781913398E-2</v>
      </c>
      <c r="Q1292">
        <v>4.2751944801857429E-4</v>
      </c>
      <c r="R1292">
        <v>7.7931632394055933E-4</v>
      </c>
      <c r="S1292">
        <v>7.0321462484149513E-2</v>
      </c>
      <c r="T1292">
        <v>0.84609433787006105</v>
      </c>
      <c r="U1292">
        <v>0</v>
      </c>
      <c r="V1292">
        <v>8.9730403099423151E-2</v>
      </c>
      <c r="W1292">
        <v>4.6477629485103228E-2</v>
      </c>
      <c r="X1292">
        <v>6.9962457144827402E-3</v>
      </c>
      <c r="Y1292">
        <v>2.1210421322090593E-3</v>
      </c>
    </row>
    <row r="1293" spans="1:25" x14ac:dyDescent="0.25">
      <c r="A1293" s="1096"/>
      <c r="B1293" s="1455">
        <v>1043</v>
      </c>
      <c r="C1293" s="1100">
        <v>1.0053372987625391</v>
      </c>
      <c r="D1293" s="1100">
        <v>1.0203031046340829</v>
      </c>
      <c r="E1293" s="1100">
        <v>1.0130018492220865</v>
      </c>
      <c r="F1293" s="1100">
        <v>1.0097656501886569</v>
      </c>
      <c r="G1293" s="1100">
        <v>0.96718604638677053</v>
      </c>
      <c r="H1293" s="1100">
        <v>0.98979950173109366</v>
      </c>
      <c r="I1293" s="1100">
        <v>0.97307572418423094</v>
      </c>
      <c r="K1293">
        <v>1.1489542389709668</v>
      </c>
      <c r="L1293">
        <v>0</v>
      </c>
      <c r="M1293">
        <v>7.6124928383296915E-4</v>
      </c>
      <c r="N1293">
        <v>7.2854918145127512E-2</v>
      </c>
      <c r="O1293">
        <v>1.0216087159200807E-2</v>
      </c>
      <c r="P1293">
        <v>1.3694387972670885E-2</v>
      </c>
      <c r="Q1293">
        <v>4.4942975092610591E-4</v>
      </c>
      <c r="R1293">
        <v>7.59545928541053E-4</v>
      </c>
      <c r="S1293">
        <v>6.9419789232308723E-2</v>
      </c>
      <c r="T1293">
        <v>0.83484909174305399</v>
      </c>
      <c r="U1293">
        <v>0</v>
      </c>
      <c r="V1293">
        <v>9.0563449817334482E-2</v>
      </c>
      <c r="W1293">
        <v>4.7494181575852473E-2</v>
      </c>
      <c r="X1293">
        <v>7.3473732965425457E-3</v>
      </c>
      <c r="Y1293">
        <v>2.0672336332406955E-3</v>
      </c>
    </row>
    <row r="1294" spans="1:25" x14ac:dyDescent="0.25">
      <c r="A1294" s="1096"/>
      <c r="B1294" s="1455">
        <v>1044</v>
      </c>
      <c r="C1294" s="1100">
        <v>0.97474972084685596</v>
      </c>
      <c r="D1294" s="1100">
        <v>1.002090460368753</v>
      </c>
      <c r="E1294" s="1100">
        <v>1.000836975631799</v>
      </c>
      <c r="F1294" s="1100">
        <v>0.97151355275827123</v>
      </c>
      <c r="G1294" s="1100">
        <v>1.0368828588276331</v>
      </c>
      <c r="H1294" s="1100">
        <v>0.99195268132888004</v>
      </c>
      <c r="I1294" s="1100">
        <v>1.0129066261677895</v>
      </c>
      <c r="K1294">
        <v>1.1315204196142945</v>
      </c>
      <c r="L1294">
        <v>0</v>
      </c>
      <c r="M1294">
        <v>8.1280947792020564E-4</v>
      </c>
      <c r="N1294">
        <v>7.4984148032092385E-2</v>
      </c>
      <c r="O1294">
        <v>1.0608768033569716E-2</v>
      </c>
      <c r="P1294">
        <v>1.3282049336536957E-2</v>
      </c>
      <c r="Q1294">
        <v>4.610541618138063E-4</v>
      </c>
      <c r="R1294">
        <v>8.1099470044033615E-4</v>
      </c>
      <c r="S1294">
        <v>7.5297848769169007E-2</v>
      </c>
      <c r="T1294">
        <v>0.80400299120965513</v>
      </c>
      <c r="U1294">
        <v>0</v>
      </c>
      <c r="V1294">
        <v>9.4314630520916473E-2</v>
      </c>
      <c r="W1294">
        <v>4.9234997830715103E-2</v>
      </c>
      <c r="X1294">
        <v>7.1284862670368708E-3</v>
      </c>
      <c r="Y1294">
        <v>2.2072602302674453E-3</v>
      </c>
    </row>
    <row r="1295" spans="1:25" x14ac:dyDescent="0.25">
      <c r="A1295" s="1096"/>
      <c r="B1295" s="1455">
        <v>1045</v>
      </c>
      <c r="C1295" s="1100">
        <v>1.0076200464678504</v>
      </c>
      <c r="D1295" s="1100">
        <v>1.0082972026427002</v>
      </c>
      <c r="E1295" s="1100">
        <v>0.97939911748815023</v>
      </c>
      <c r="F1295" s="1100">
        <v>1.0137064217994962</v>
      </c>
      <c r="G1295" s="1100">
        <v>0.97390967248163229</v>
      </c>
      <c r="H1295" s="1100">
        <v>1.0163763363049332</v>
      </c>
      <c r="I1295" s="1100">
        <v>1.0001235657261993</v>
      </c>
      <c r="K1295">
        <v>1.1580060444856244</v>
      </c>
      <c r="L1295">
        <v>0</v>
      </c>
      <c r="M1295">
        <v>8.4015349987413889E-4</v>
      </c>
      <c r="N1295">
        <v>7.2646334392324693E-2</v>
      </c>
      <c r="O1295">
        <v>1.0230445547872205E-2</v>
      </c>
      <c r="P1295">
        <v>1.3474342833355682E-2</v>
      </c>
      <c r="Q1295">
        <v>4.3508238607846601E-4</v>
      </c>
      <c r="R1295">
        <v>8.3832274721461566E-4</v>
      </c>
      <c r="S1295">
        <v>7.2652376483807901E-2</v>
      </c>
      <c r="T1295">
        <v>0.84036656417124</v>
      </c>
      <c r="U1295">
        <v>0</v>
      </c>
      <c r="V1295">
        <v>9.0789608193081919E-2</v>
      </c>
      <c r="W1295">
        <v>4.8316469432379133E-2</v>
      </c>
      <c r="X1295">
        <v>6.8150136332434021E-3</v>
      </c>
      <c r="Y1295">
        <v>2.2816381648988354E-3</v>
      </c>
    </row>
    <row r="1296" spans="1:25" x14ac:dyDescent="0.25">
      <c r="A1296" s="1096"/>
      <c r="B1296" s="1455">
        <v>1046</v>
      </c>
      <c r="C1296" s="1100">
        <v>0.9906602800624531</v>
      </c>
      <c r="D1296" s="1100">
        <v>1.0288722133705137</v>
      </c>
      <c r="E1296" s="1100">
        <v>1.006256805288128</v>
      </c>
      <c r="F1296" s="1100">
        <v>0.98486350698776748</v>
      </c>
      <c r="G1296" s="1100">
        <v>0.97609414386999471</v>
      </c>
      <c r="H1296" s="1100">
        <v>1.005008816280921</v>
      </c>
      <c r="I1296" s="1100">
        <v>0.99306492960408066</v>
      </c>
      <c r="K1296">
        <v>1.1347278078400636</v>
      </c>
      <c r="L1296">
        <v>0</v>
      </c>
      <c r="M1296">
        <v>7.9280987767681415E-4</v>
      </c>
      <c r="N1296">
        <v>7.4348441750386324E-2</v>
      </c>
      <c r="O1296">
        <v>1.0330610584194063E-2</v>
      </c>
      <c r="P1296">
        <v>1.3398440784521874E-2</v>
      </c>
      <c r="Q1296">
        <v>4.5141328963701019E-4</v>
      </c>
      <c r="R1296">
        <v>7.9106274953663527E-4</v>
      </c>
      <c r="S1296">
        <v>7.2192949368753617E-2</v>
      </c>
      <c r="T1296">
        <v>0.81469834222518822</v>
      </c>
      <c r="U1296">
        <v>0</v>
      </c>
      <c r="V1296">
        <v>9.1308333672871458E-2</v>
      </c>
      <c r="W1296">
        <v>4.8661027004176391E-2</v>
      </c>
      <c r="X1296">
        <v>7.1869842580027264E-3</v>
      </c>
      <c r="Y1296">
        <v>2.1530120304734204E-3</v>
      </c>
    </row>
    <row r="1297" spans="1:25" x14ac:dyDescent="0.25">
      <c r="A1297" s="1096"/>
      <c r="B1297" s="1455">
        <v>1047</v>
      </c>
      <c r="C1297" s="1100">
        <v>0.97771102696712586</v>
      </c>
      <c r="D1297" s="1100">
        <v>1.0284277624303828</v>
      </c>
      <c r="E1297" s="1100">
        <v>0.95910965916148583</v>
      </c>
      <c r="F1297" s="1100">
        <v>1.0401725618806084</v>
      </c>
      <c r="G1297" s="1100">
        <v>0.99572437037437256</v>
      </c>
      <c r="H1297" s="1100">
        <v>1.0212346666268406</v>
      </c>
      <c r="I1297" s="1100">
        <v>0.96111164956205974</v>
      </c>
      <c r="K1297">
        <v>1.1835930602765816</v>
      </c>
      <c r="L1297">
        <v>0</v>
      </c>
      <c r="M1297">
        <v>9.0005861919775136E-4</v>
      </c>
      <c r="N1297">
        <v>7.318943093384038E-2</v>
      </c>
      <c r="O1297">
        <v>1.0453679952969374E-2</v>
      </c>
      <c r="P1297">
        <v>1.3580316835680709E-2</v>
      </c>
      <c r="Q1297">
        <v>4.3544790416894495E-4</v>
      </c>
      <c r="R1297">
        <v>8.9810665960025839E-4</v>
      </c>
      <c r="S1297">
        <v>7.1398681184632398E-2</v>
      </c>
      <c r="T1297">
        <v>0.86372530718613394</v>
      </c>
      <c r="U1297">
        <v>0</v>
      </c>
      <c r="V1297">
        <v>9.2471925750074402E-2</v>
      </c>
      <c r="W1297">
        <v>4.9282886767956231E-2</v>
      </c>
      <c r="X1297">
        <v>6.612985454071651E-3</v>
      </c>
      <c r="Y1297">
        <v>2.444350266651134E-3</v>
      </c>
    </row>
    <row r="1298" spans="1:25" x14ac:dyDescent="0.25">
      <c r="A1298" s="1096"/>
      <c r="B1298" s="1455">
        <v>1048</v>
      </c>
      <c r="C1298" s="1100">
        <v>0.99610370329810194</v>
      </c>
      <c r="D1298" s="1100">
        <v>1.0101514818530242</v>
      </c>
      <c r="E1298" s="1100">
        <v>0.9964187916839522</v>
      </c>
      <c r="F1298" s="1100">
        <v>0.99547718887192993</v>
      </c>
      <c r="G1298" s="1100">
        <v>0.9680500954956005</v>
      </c>
      <c r="H1298" s="1100">
        <v>1.0067722481973298</v>
      </c>
      <c r="I1298" s="1100">
        <v>1.0232511067701002</v>
      </c>
      <c r="K1298">
        <v>1.1458155151233633</v>
      </c>
      <c r="L1298">
        <v>0</v>
      </c>
      <c r="M1298">
        <v>8.1209173107655696E-4</v>
      </c>
      <c r="N1298">
        <v>7.3926887989926082E-2</v>
      </c>
      <c r="O1298">
        <v>1.0346679938358494E-2</v>
      </c>
      <c r="P1298">
        <v>1.3456771140192281E-2</v>
      </c>
      <c r="Q1298">
        <v>4.4766981389396572E-4</v>
      </c>
      <c r="R1298">
        <v>8.1030524584378011E-4</v>
      </c>
      <c r="S1298">
        <v>7.474196530707708E-2</v>
      </c>
      <c r="T1298">
        <v>0.8241261403283977</v>
      </c>
      <c r="U1298">
        <v>0</v>
      </c>
      <c r="V1298">
        <v>9.0826036925686152E-2</v>
      </c>
      <c r="W1298">
        <v>4.8668565841642086E-2</v>
      </c>
      <c r="X1298">
        <v>7.0712005612877885E-3</v>
      </c>
      <c r="Y1298">
        <v>2.2053837621342663E-3</v>
      </c>
    </row>
    <row r="1299" spans="1:25" x14ac:dyDescent="0.25">
      <c r="A1299" s="1096"/>
      <c r="B1299" s="1455">
        <v>1049</v>
      </c>
      <c r="C1299" s="1100">
        <v>1.0004969304710618</v>
      </c>
      <c r="D1299" s="1100">
        <v>1.035626623941226</v>
      </c>
      <c r="E1299" s="1100">
        <v>1.0194335326006272</v>
      </c>
      <c r="F1299" s="1100">
        <v>1.0082947916711713</v>
      </c>
      <c r="G1299" s="1100">
        <v>0.99545597431541111</v>
      </c>
      <c r="H1299" s="1100">
        <v>0.984316387141834</v>
      </c>
      <c r="I1299" s="1100">
        <v>1.0004747308322239</v>
      </c>
      <c r="K1299">
        <v>1.1500690135269873</v>
      </c>
      <c r="L1299">
        <v>0</v>
      </c>
      <c r="M1299">
        <v>7.461262876011411E-4</v>
      </c>
      <c r="N1299">
        <v>7.2806113244381868E-2</v>
      </c>
      <c r="O1299">
        <v>1.0206563385152693E-2</v>
      </c>
      <c r="P1299">
        <v>1.3776390427920468E-2</v>
      </c>
      <c r="Q1299">
        <v>4.5189698657612919E-4</v>
      </c>
      <c r="R1299">
        <v>7.4444747119821811E-4</v>
      </c>
      <c r="S1299">
        <v>7.0960494192978313E-2</v>
      </c>
      <c r="T1299">
        <v>0.83320709041408691</v>
      </c>
      <c r="U1299">
        <v>0</v>
      </c>
      <c r="V1299">
        <v>9.1892192736080264E-2</v>
      </c>
      <c r="W1299">
        <v>4.7283575844774856E-2</v>
      </c>
      <c r="X1299">
        <v>7.4602345018803719E-3</v>
      </c>
      <c r="Y1299">
        <v>2.0261406095586233E-3</v>
      </c>
    </row>
    <row r="1300" spans="1:25" x14ac:dyDescent="0.25">
      <c r="A1300" s="1096"/>
      <c r="B1300" s="1455">
        <v>1050</v>
      </c>
      <c r="C1300" s="1100">
        <v>0.97628947466876947</v>
      </c>
      <c r="D1300" s="1100">
        <v>1.0311205591710626</v>
      </c>
      <c r="E1300" s="1100">
        <v>0.99681111725650939</v>
      </c>
      <c r="F1300" s="1100">
        <v>1.0152344451114694</v>
      </c>
      <c r="G1300" s="1100">
        <v>1.0040984426324782</v>
      </c>
      <c r="H1300" s="1100">
        <v>0.98536506945899704</v>
      </c>
      <c r="I1300" s="1100">
        <v>0.97941527075437951</v>
      </c>
      <c r="K1300">
        <v>1.1600800647670559</v>
      </c>
      <c r="L1300">
        <v>0</v>
      </c>
      <c r="M1300">
        <v>8.0366405133723594E-4</v>
      </c>
      <c r="N1300">
        <v>7.3242974571547895E-2</v>
      </c>
      <c r="O1300">
        <v>1.0470397563524234E-2</v>
      </c>
      <c r="P1300">
        <v>1.366466582372476E-2</v>
      </c>
      <c r="Q1300">
        <v>4.5320172798024388E-4</v>
      </c>
      <c r="R1300">
        <v>8.0185769695310526E-4</v>
      </c>
      <c r="S1300">
        <v>7.1365059989678029E-2</v>
      </c>
      <c r="T1300">
        <v>0.84045617560464658</v>
      </c>
      <c r="U1300">
        <v>0</v>
      </c>
      <c r="V1300">
        <v>9.2872282789585994E-2</v>
      </c>
      <c r="W1300">
        <v>4.8207050376281556E-2</v>
      </c>
      <c r="X1300">
        <v>7.1676703556810125E-3</v>
      </c>
      <c r="Y1300">
        <v>2.1823923187875923E-3</v>
      </c>
    </row>
    <row r="1301" spans="1:25" x14ac:dyDescent="0.25">
      <c r="A1301" s="1096"/>
      <c r="B1301" s="1455">
        <v>1051</v>
      </c>
      <c r="C1301" s="1100">
        <v>0.95458684859381981</v>
      </c>
      <c r="D1301" s="1100">
        <v>0.96828998627989238</v>
      </c>
      <c r="E1301" s="1100">
        <v>1.0120276325779911</v>
      </c>
      <c r="F1301" s="1100">
        <v>1.0389233929764901</v>
      </c>
      <c r="G1301" s="1100">
        <v>1.0094291318204498</v>
      </c>
      <c r="H1301" s="1100">
        <v>1.0169714163871635</v>
      </c>
      <c r="I1301" s="1100">
        <v>0.95969099708070671</v>
      </c>
      <c r="K1301">
        <v>1.1963936733059266</v>
      </c>
      <c r="L1301">
        <v>0</v>
      </c>
      <c r="M1301">
        <v>8.4285640639311784E-4</v>
      </c>
      <c r="N1301">
        <v>8.043304276313297E-2</v>
      </c>
      <c r="O1301">
        <v>1.0986441412914398E-2</v>
      </c>
      <c r="P1301">
        <v>1.4139434084524919E-2</v>
      </c>
      <c r="Q1301">
        <v>4.828496434375227E-4</v>
      </c>
      <c r="R1301">
        <v>8.4102083862311219E-4</v>
      </c>
      <c r="S1301">
        <v>7.5195761334024169E-2</v>
      </c>
      <c r="T1301">
        <v>0.85902258516421104</v>
      </c>
      <c r="U1301">
        <v>0</v>
      </c>
      <c r="V1301">
        <v>9.3679816813749442E-2</v>
      </c>
      <c r="W1301">
        <v>5.2464438404249837E-2</v>
      </c>
      <c r="X1301">
        <v>7.7021577731652257E-3</v>
      </c>
      <c r="Y1301">
        <v>2.2889814802871697E-3</v>
      </c>
    </row>
    <row r="1302" spans="1:25" x14ac:dyDescent="0.25">
      <c r="A1302" s="1096"/>
      <c r="B1302" s="1455">
        <v>1052</v>
      </c>
      <c r="C1302" s="1100">
        <v>1.0294910934488684</v>
      </c>
      <c r="D1302" s="1100">
        <v>0.97485349321030212</v>
      </c>
      <c r="E1302" s="1100">
        <v>1.0293133859191743</v>
      </c>
      <c r="F1302" s="1100">
        <v>1.0144907350616919</v>
      </c>
      <c r="G1302" s="1100">
        <v>1.0152235771604452</v>
      </c>
      <c r="H1302" s="1100">
        <v>0.99463751927714794</v>
      </c>
      <c r="I1302" s="1100">
        <v>0.99306690060758784</v>
      </c>
      <c r="K1302">
        <v>1.1566238775266799</v>
      </c>
      <c r="L1302">
        <v>0</v>
      </c>
      <c r="M1302">
        <v>7.3537298448421906E-4</v>
      </c>
      <c r="N1302">
        <v>7.3928773620795654E-2</v>
      </c>
      <c r="O1302">
        <v>1.0165162836765124E-2</v>
      </c>
      <c r="P1302">
        <v>1.3941497905935714E-2</v>
      </c>
      <c r="Q1302">
        <v>4.5449556021969173E-4</v>
      </c>
      <c r="R1302">
        <v>7.3373553311205343E-4</v>
      </c>
      <c r="S1302">
        <v>7.1034098219037153E-2</v>
      </c>
      <c r="T1302">
        <v>0.83767147023499</v>
      </c>
      <c r="U1302">
        <v>0</v>
      </c>
      <c r="V1302">
        <v>9.2040686305345482E-2</v>
      </c>
      <c r="W1302">
        <v>4.7736903870067467E-2</v>
      </c>
      <c r="X1302">
        <v>7.6554401796175512E-3</v>
      </c>
      <c r="Y1302">
        <v>1.9969862452775241E-3</v>
      </c>
    </row>
    <row r="1303" spans="1:25" x14ac:dyDescent="0.25">
      <c r="A1303" s="1096"/>
      <c r="B1303" s="1455">
        <v>1053</v>
      </c>
      <c r="C1303" s="1100">
        <v>0.97862771448526886</v>
      </c>
      <c r="D1303" s="1100">
        <v>1.0450333732212347</v>
      </c>
      <c r="E1303" s="1100">
        <v>1.0074288667709546</v>
      </c>
      <c r="F1303" s="1100">
        <v>0.99944056073801757</v>
      </c>
      <c r="G1303" s="1100">
        <v>1.030998954478419</v>
      </c>
      <c r="H1303" s="1100">
        <v>0.98714063517243988</v>
      </c>
      <c r="I1303" s="1100">
        <v>1.0156046907816132</v>
      </c>
      <c r="K1303">
        <v>1.1495754809174985</v>
      </c>
      <c r="L1303">
        <v>0</v>
      </c>
      <c r="M1303">
        <v>7.8148560449190039E-4</v>
      </c>
      <c r="N1303">
        <v>7.3543369589734259E-2</v>
      </c>
      <c r="O1303">
        <v>1.0393022173724399E-2</v>
      </c>
      <c r="P1303">
        <v>1.3627379241410669E-2</v>
      </c>
      <c r="Q1303">
        <v>4.5467379796700552E-4</v>
      </c>
      <c r="R1303">
        <v>7.79732258881106E-4</v>
      </c>
      <c r="S1303">
        <v>7.3405300666159162E-2</v>
      </c>
      <c r="T1303">
        <v>0.8266794730395095</v>
      </c>
      <c r="U1303">
        <v>0</v>
      </c>
      <c r="V1303">
        <v>9.3963257669800043E-2</v>
      </c>
      <c r="W1303">
        <v>4.81007690004411E-2</v>
      </c>
      <c r="X1303">
        <v>7.2878149143580893E-3</v>
      </c>
      <c r="Y1303">
        <v>2.1221741700043107E-3</v>
      </c>
    </row>
    <row r="1304" spans="1:25" x14ac:dyDescent="0.25">
      <c r="A1304" s="1096"/>
      <c r="B1304" s="1455">
        <v>1054</v>
      </c>
      <c r="C1304" s="1100">
        <v>0.99129009575910565</v>
      </c>
      <c r="D1304" s="1100">
        <v>0.97056096586463181</v>
      </c>
      <c r="E1304" s="1100">
        <v>0.99244696659379517</v>
      </c>
      <c r="F1304" s="1100">
        <v>1.0039678699763466</v>
      </c>
      <c r="G1304" s="1100">
        <v>0.96686242659585075</v>
      </c>
      <c r="H1304" s="1100">
        <v>0.97356892300606712</v>
      </c>
      <c r="I1304" s="1100">
        <v>1.0056216687012318</v>
      </c>
      <c r="K1304">
        <v>1.1507469184422681</v>
      </c>
      <c r="L1304">
        <v>0</v>
      </c>
      <c r="M1304">
        <v>8.0847160532829872E-4</v>
      </c>
      <c r="N1304">
        <v>7.2713642238681944E-2</v>
      </c>
      <c r="O1304">
        <v>1.0563206323397365E-2</v>
      </c>
      <c r="P1304">
        <v>1.3505762325353474E-2</v>
      </c>
      <c r="Q1304">
        <v>4.5521160793744704E-4</v>
      </c>
      <c r="R1304">
        <v>8.0663242782134936E-4</v>
      </c>
      <c r="S1304">
        <v>7.3949494138430633E-2</v>
      </c>
      <c r="T1304">
        <v>0.8314200401954569</v>
      </c>
      <c r="U1304">
        <v>0</v>
      </c>
      <c r="V1304">
        <v>9.0895389472038748E-2</v>
      </c>
      <c r="W1304">
        <v>4.7983481219288103E-2</v>
      </c>
      <c r="X1304">
        <v>7.0671425369682782E-3</v>
      </c>
      <c r="Y1304">
        <v>2.1953875622213459E-3</v>
      </c>
    </row>
    <row r="1305" spans="1:25" x14ac:dyDescent="0.25">
      <c r="A1305" s="1096"/>
      <c r="B1305" s="1455">
        <v>1055</v>
      </c>
      <c r="C1305" s="1100">
        <v>0.98957518799670652</v>
      </c>
      <c r="D1305" s="1100">
        <v>0.96387699086386547</v>
      </c>
      <c r="E1305" s="1100">
        <v>1.0016495017033666</v>
      </c>
      <c r="F1305" s="1100">
        <v>0.99550013945301929</v>
      </c>
      <c r="G1305" s="1100">
        <v>1.0113866430608174</v>
      </c>
      <c r="H1305" s="1100">
        <v>1.0251145367964809</v>
      </c>
      <c r="I1305" s="1100">
        <v>1.0235423349196526</v>
      </c>
      <c r="K1305">
        <v>1.1572263910939353</v>
      </c>
      <c r="L1305">
        <v>0</v>
      </c>
      <c r="M1305">
        <v>8.3895087276351389E-4</v>
      </c>
      <c r="N1305">
        <v>7.7591596023772261E-2</v>
      </c>
      <c r="O1305">
        <v>1.0613889522115094E-2</v>
      </c>
      <c r="P1305">
        <v>1.3575472445362172E-2</v>
      </c>
      <c r="Q1305">
        <v>4.6165337543257486E-4</v>
      </c>
      <c r="R1305">
        <v>8.3713832393081497E-4</v>
      </c>
      <c r="S1305">
        <v>7.7879528975559151E-2</v>
      </c>
      <c r="T1305">
        <v>0.82380023798332169</v>
      </c>
      <c r="U1305">
        <v>0</v>
      </c>
      <c r="V1305">
        <v>9.2843806184137401E-2</v>
      </c>
      <c r="W1305">
        <v>5.0922488963810353E-2</v>
      </c>
      <c r="X1305">
        <v>7.2611156140911948E-3</v>
      </c>
      <c r="Y1305">
        <v>2.2784145551653615E-3</v>
      </c>
    </row>
    <row r="1306" spans="1:25" x14ac:dyDescent="0.25">
      <c r="A1306" s="1096"/>
      <c r="B1306" s="1455">
        <v>1056</v>
      </c>
      <c r="C1306" s="1100">
        <v>0.98762068501037814</v>
      </c>
      <c r="D1306" s="1100">
        <v>0.99485535152405491</v>
      </c>
      <c r="E1306" s="1100">
        <v>1.0440497211820998</v>
      </c>
      <c r="F1306" s="1100">
        <v>1.0241158795697118</v>
      </c>
      <c r="G1306" s="1100">
        <v>1.0025089176926565</v>
      </c>
      <c r="H1306" s="1100">
        <v>0.99469627390724169</v>
      </c>
      <c r="I1306" s="1100">
        <v>1.0113531783197194</v>
      </c>
      <c r="K1306">
        <v>1.1742356229877708</v>
      </c>
      <c r="L1306">
        <v>0</v>
      </c>
      <c r="M1306">
        <v>7.3737488535496149E-4</v>
      </c>
      <c r="N1306">
        <v>7.7495731386356237E-2</v>
      </c>
      <c r="O1306">
        <v>1.0515303051928347E-2</v>
      </c>
      <c r="P1306">
        <v>1.4246573487578252E-2</v>
      </c>
      <c r="Q1306">
        <v>4.7702543711894039E-4</v>
      </c>
      <c r="R1306">
        <v>7.3573307334420291E-4</v>
      </c>
      <c r="S1306">
        <v>7.4646089341021044E-2</v>
      </c>
      <c r="T1306">
        <v>0.84463781328419352</v>
      </c>
      <c r="U1306">
        <v>0</v>
      </c>
      <c r="V1306">
        <v>9.2521070646698247E-2</v>
      </c>
      <c r="W1306">
        <v>4.9616134061868405E-2</v>
      </c>
      <c r="X1306">
        <v>8.0791012117168021E-3</v>
      </c>
      <c r="Y1306">
        <v>2.0024228913004742E-3</v>
      </c>
    </row>
    <row r="1307" spans="1:25" x14ac:dyDescent="0.25">
      <c r="A1307" s="1096"/>
      <c r="B1307" s="1455">
        <v>1057</v>
      </c>
      <c r="C1307" s="1100">
        <v>0.99963722552303336</v>
      </c>
      <c r="D1307" s="1100">
        <v>0.97651070773523307</v>
      </c>
      <c r="E1307" s="1100">
        <v>1.0418761671628889</v>
      </c>
      <c r="F1307" s="1100">
        <v>0.98802837576667735</v>
      </c>
      <c r="G1307" s="1100">
        <v>1.0045344464905639</v>
      </c>
      <c r="H1307" s="1100">
        <v>1.0254714861999112</v>
      </c>
      <c r="I1307" s="1100">
        <v>1.0099756752690503</v>
      </c>
      <c r="K1307">
        <v>1.1479360732817971</v>
      </c>
      <c r="L1307">
        <v>0</v>
      </c>
      <c r="M1307">
        <v>7.6010420720084811E-4</v>
      </c>
      <c r="N1307">
        <v>7.9368599472921825E-2</v>
      </c>
      <c r="O1307">
        <v>1.0465806966552369E-2</v>
      </c>
      <c r="P1307">
        <v>1.381876457089372E-2</v>
      </c>
      <c r="Q1307">
        <v>4.7376806056887127E-4</v>
      </c>
      <c r="R1307">
        <v>7.5846257778615736E-4</v>
      </c>
      <c r="S1307">
        <v>7.5631662612884371E-2</v>
      </c>
      <c r="T1307">
        <v>0.81501389273188873</v>
      </c>
      <c r="U1307">
        <v>0</v>
      </c>
      <c r="V1307">
        <v>9.2305358021689196E-2</v>
      </c>
      <c r="W1307">
        <v>5.0878730613977512E-2</v>
      </c>
      <c r="X1307">
        <v>7.9168467502216937E-3</v>
      </c>
      <c r="Y1307">
        <v>2.064285109612349E-3</v>
      </c>
    </row>
    <row r="1308" spans="1:25" x14ac:dyDescent="0.25">
      <c r="A1308" s="1096"/>
      <c r="B1308" s="1455">
        <v>1058</v>
      </c>
      <c r="C1308" s="1100">
        <v>1.0182722295861371</v>
      </c>
      <c r="D1308" s="1100">
        <v>0.98193726367191536</v>
      </c>
      <c r="E1308" s="1100">
        <v>1.0129785142273138</v>
      </c>
      <c r="F1308" s="1100">
        <v>1.0142305923103092</v>
      </c>
      <c r="G1308" s="1100">
        <v>0.96991957876538282</v>
      </c>
      <c r="H1308" s="1100">
        <v>0.98878448820228582</v>
      </c>
      <c r="I1308" s="1100">
        <v>1.0325226142664403</v>
      </c>
      <c r="K1308">
        <v>1.1575296082273383</v>
      </c>
      <c r="L1308">
        <v>0</v>
      </c>
      <c r="M1308">
        <v>7.6244488790338518E-4</v>
      </c>
      <c r="N1308">
        <v>7.2964035507311051E-2</v>
      </c>
      <c r="O1308">
        <v>1.0242131579069922E-2</v>
      </c>
      <c r="P1308">
        <v>1.3807169066105338E-2</v>
      </c>
      <c r="Q1308">
        <v>4.5056501340489275E-4</v>
      </c>
      <c r="R1308">
        <v>7.6073710606744242E-4</v>
      </c>
      <c r="S1308">
        <v>7.4129652139449734E-2</v>
      </c>
      <c r="T1308">
        <v>0.83854215160264323</v>
      </c>
      <c r="U1308">
        <v>0</v>
      </c>
      <c r="V1308">
        <v>9.0367083331409692E-2</v>
      </c>
      <c r="W1308">
        <v>4.7565968242548357E-2</v>
      </c>
      <c r="X1308">
        <v>7.3920839014361564E-3</v>
      </c>
      <c r="Y1308">
        <v>2.0704756257959606E-3</v>
      </c>
    </row>
    <row r="1309" spans="1:25" x14ac:dyDescent="0.25">
      <c r="A1309" s="1096"/>
      <c r="B1309" s="1455">
        <v>1059</v>
      </c>
      <c r="C1309" s="1100">
        <v>1.0064481812077926</v>
      </c>
      <c r="D1309" s="1100">
        <v>1.0212568400851108</v>
      </c>
      <c r="E1309" s="1100">
        <v>0.99469412158973314</v>
      </c>
      <c r="F1309" s="1100">
        <v>0.97711208955054585</v>
      </c>
      <c r="G1309" s="1100">
        <v>0.98571980593022102</v>
      </c>
      <c r="H1309" s="1100">
        <v>1.0110988874431939</v>
      </c>
      <c r="I1309" s="1100">
        <v>0.98932694170352287</v>
      </c>
      <c r="K1309">
        <v>1.1257690378345995</v>
      </c>
      <c r="L1309">
        <v>0</v>
      </c>
      <c r="M1309">
        <v>8.0655473081879092E-4</v>
      </c>
      <c r="N1309">
        <v>7.3041822802191486E-2</v>
      </c>
      <c r="O1309">
        <v>1.0195090525587853E-2</v>
      </c>
      <c r="P1309">
        <v>1.3194357759279249E-2</v>
      </c>
      <c r="Q1309">
        <v>4.4034506500873459E-4</v>
      </c>
      <c r="R1309">
        <v>8.047880186993915E-4</v>
      </c>
      <c r="S1309">
        <v>7.1291218483909444E-2</v>
      </c>
      <c r="T1309">
        <v>0.80903402792401558</v>
      </c>
      <c r="U1309">
        <v>0</v>
      </c>
      <c r="V1309">
        <v>9.1325547196824425E-2</v>
      </c>
      <c r="W1309">
        <v>4.8135386726750225E-2</v>
      </c>
      <c r="X1309">
        <v>6.9226403745507297E-3</v>
      </c>
      <c r="Y1309">
        <v>2.1903676886006799E-3</v>
      </c>
    </row>
    <row r="1310" spans="1:25" x14ac:dyDescent="0.25">
      <c r="A1310" s="1096"/>
      <c r="B1310" s="1455">
        <v>1060</v>
      </c>
      <c r="C1310" s="1100">
        <v>1.0000781625747635</v>
      </c>
      <c r="D1310" s="1100">
        <v>0.98566767609458861</v>
      </c>
      <c r="E1310" s="1100">
        <v>1.0160168560303131</v>
      </c>
      <c r="F1310" s="1100">
        <v>1.0436742041232479</v>
      </c>
      <c r="G1310" s="1100">
        <v>0.96905830892526446</v>
      </c>
      <c r="H1310" s="1100">
        <v>1.0320605165438692</v>
      </c>
      <c r="I1310" s="1100">
        <v>1.0353397248801908</v>
      </c>
      <c r="K1310">
        <v>1.193942590316061</v>
      </c>
      <c r="L1310">
        <v>0</v>
      </c>
      <c r="M1310">
        <v>8.039702909998865E-4</v>
      </c>
      <c r="N1310">
        <v>7.7653963671685089E-2</v>
      </c>
      <c r="O1310">
        <v>1.0413660187516745E-2</v>
      </c>
      <c r="P1310">
        <v>1.4221462664941481E-2</v>
      </c>
      <c r="Q1310">
        <v>4.5950083693269768E-4</v>
      </c>
      <c r="R1310">
        <v>8.0224500771437031E-4</v>
      </c>
      <c r="S1310">
        <v>7.7374132214479113E-2</v>
      </c>
      <c r="T1310">
        <v>0.86267699349408566</v>
      </c>
      <c r="U1310">
        <v>0</v>
      </c>
      <c r="V1310">
        <v>9.0773685443377647E-2</v>
      </c>
      <c r="W1310">
        <v>5.0533080820574158E-2</v>
      </c>
      <c r="X1310">
        <v>7.6543898147511833E-3</v>
      </c>
      <c r="Y1310">
        <v>2.183446451002798E-3</v>
      </c>
    </row>
    <row r="1311" spans="1:25" x14ac:dyDescent="0.25">
      <c r="A1311" s="1096"/>
      <c r="B1311" s="1455">
        <v>1061</v>
      </c>
      <c r="C1311" s="1100">
        <v>1.0127179035279781</v>
      </c>
      <c r="D1311" s="1100">
        <v>1.0123440631354672</v>
      </c>
      <c r="E1311" s="1100">
        <v>1.0008039807538276</v>
      </c>
      <c r="F1311" s="1100">
        <v>1.011833566741499</v>
      </c>
      <c r="G1311" s="1100">
        <v>1.0150072178689067</v>
      </c>
      <c r="H1311" s="1100">
        <v>0.98205774357797693</v>
      </c>
      <c r="I1311" s="1100">
        <v>1.0225844544833775</v>
      </c>
      <c r="K1311">
        <v>1.1535925807433622</v>
      </c>
      <c r="L1311">
        <v>0</v>
      </c>
      <c r="M1311">
        <v>7.7143742141059894E-4</v>
      </c>
      <c r="N1311">
        <v>7.1158751962433112E-2</v>
      </c>
      <c r="O1311">
        <v>1.0169524498670935E-2</v>
      </c>
      <c r="P1311">
        <v>1.3671249990950813E-2</v>
      </c>
      <c r="Q1311">
        <v>4.4195010652844355E-4</v>
      </c>
      <c r="R1311">
        <v>7.6969766175475816E-4</v>
      </c>
      <c r="S1311">
        <v>7.2381152472767329E-2</v>
      </c>
      <c r="T1311">
        <v>0.83737314667344409</v>
      </c>
      <c r="U1311">
        <v>0</v>
      </c>
      <c r="V1311">
        <v>9.242615684026026E-2</v>
      </c>
      <c r="W1311">
        <v>4.6724137721329821E-2</v>
      </c>
      <c r="X1311">
        <v>7.1533869321037799E-3</v>
      </c>
      <c r="Y1311">
        <v>2.0948633045304462E-3</v>
      </c>
    </row>
    <row r="1312" spans="1:25" x14ac:dyDescent="0.25">
      <c r="A1312" s="1096"/>
      <c r="B1312" s="1455">
        <v>1062</v>
      </c>
      <c r="C1312" s="1100">
        <v>0.99746958786399986</v>
      </c>
      <c r="D1312" s="1100">
        <v>0.97407214710168144</v>
      </c>
      <c r="E1312" s="1100">
        <v>1.0163865219659463</v>
      </c>
      <c r="F1312" s="1100">
        <v>0.99465603257286217</v>
      </c>
      <c r="G1312" s="1100">
        <v>1.014760376357198</v>
      </c>
      <c r="H1312" s="1100">
        <v>0.99710739313072339</v>
      </c>
      <c r="I1312" s="1100">
        <v>0.98984034996370696</v>
      </c>
      <c r="K1312">
        <v>1.1470641593419504</v>
      </c>
      <c r="L1312">
        <v>0</v>
      </c>
      <c r="M1312">
        <v>7.818671456035661E-4</v>
      </c>
      <c r="N1312">
        <v>7.5597652805697413E-2</v>
      </c>
      <c r="O1312">
        <v>1.049055647234952E-2</v>
      </c>
      <c r="P1312">
        <v>1.3636060847596932E-2</v>
      </c>
      <c r="Q1312">
        <v>4.6306437298048071E-4</v>
      </c>
      <c r="R1312">
        <v>7.8013047838826799E-4</v>
      </c>
      <c r="S1312">
        <v>7.3191937834576434E-2</v>
      </c>
      <c r="T1312">
        <v>0.82213555513715664</v>
      </c>
      <c r="U1312">
        <v>0</v>
      </c>
      <c r="V1312">
        <v>9.2792008623315159E-2</v>
      </c>
      <c r="W1312">
        <v>4.9184272500389536E-2</v>
      </c>
      <c r="X1312">
        <v>7.451529422872809E-3</v>
      </c>
      <c r="Y1312">
        <v>2.1232579922297813E-3</v>
      </c>
    </row>
    <row r="1313" spans="1:25" x14ac:dyDescent="0.25">
      <c r="A1313" s="1096"/>
      <c r="B1313" s="1455">
        <v>1063</v>
      </c>
      <c r="C1313" s="1100">
        <v>0.96819898374445124</v>
      </c>
      <c r="D1313" s="1100">
        <v>1.0180472578283821</v>
      </c>
      <c r="E1313" s="1100">
        <v>1.0134921739631253</v>
      </c>
      <c r="F1313" s="1100">
        <v>1.02844638240627</v>
      </c>
      <c r="G1313" s="1100">
        <v>1.0042082835292185</v>
      </c>
      <c r="H1313" s="1100">
        <v>0.96946251921563897</v>
      </c>
      <c r="I1313" s="1100">
        <v>0.96771245401988881</v>
      </c>
      <c r="K1313">
        <v>1.1715313028160692</v>
      </c>
      <c r="L1313">
        <v>0</v>
      </c>
      <c r="M1313">
        <v>7.7410479240497807E-4</v>
      </c>
      <c r="N1313">
        <v>7.4191479284863276E-2</v>
      </c>
      <c r="O1313">
        <v>1.0617518241840141E-2</v>
      </c>
      <c r="P1313">
        <v>1.3967416932246242E-2</v>
      </c>
      <c r="Q1313">
        <v>4.6731823936213259E-4</v>
      </c>
      <c r="R1313">
        <v>7.7233633619371511E-4</v>
      </c>
      <c r="S1313">
        <v>7.0946146892597775E-2</v>
      </c>
      <c r="T1313">
        <v>0.85026068709252889</v>
      </c>
      <c r="U1313">
        <v>0</v>
      </c>
      <c r="V1313">
        <v>9.3091822480195471E-2</v>
      </c>
      <c r="W1313">
        <v>4.8351540572302842E-2</v>
      </c>
      <c r="X1313">
        <v>7.5370966298290492E-3</v>
      </c>
      <c r="Y1313">
        <v>2.1020449065144919E-3</v>
      </c>
    </row>
    <row r="1314" spans="1:25" x14ac:dyDescent="0.25">
      <c r="A1314" s="1096"/>
      <c r="B1314" s="1455">
        <v>1064</v>
      </c>
      <c r="C1314" s="1100">
        <v>1.0100461030825698</v>
      </c>
      <c r="D1314" s="1100">
        <v>0.99873779708068344</v>
      </c>
      <c r="E1314" s="1100">
        <v>0.98024743260194602</v>
      </c>
      <c r="F1314" s="1100">
        <v>0.97803296632323666</v>
      </c>
      <c r="G1314" s="1100">
        <v>0.97260818492852474</v>
      </c>
      <c r="H1314" s="1100">
        <v>0.99867558411636004</v>
      </c>
      <c r="I1314" s="1100">
        <v>0.98478399073479206</v>
      </c>
      <c r="K1314">
        <v>1.1241823333327385</v>
      </c>
      <c r="L1314">
        <v>0</v>
      </c>
      <c r="M1314">
        <v>8.252341112217344E-4</v>
      </c>
      <c r="N1314">
        <v>7.1536905426095768E-2</v>
      </c>
      <c r="O1314">
        <v>1.0245109427664344E-2</v>
      </c>
      <c r="P1314">
        <v>1.3061571100824992E-2</v>
      </c>
      <c r="Q1314">
        <v>4.3608189033712992E-4</v>
      </c>
      <c r="R1314">
        <v>8.2340399648997095E-4</v>
      </c>
      <c r="S1314">
        <v>7.1014028192434422E-2</v>
      </c>
      <c r="T1314">
        <v>0.81073766034031647</v>
      </c>
      <c r="U1314">
        <v>0</v>
      </c>
      <c r="V1314">
        <v>9.0675015919338853E-2</v>
      </c>
      <c r="W1314">
        <v>4.7554229030186218E-2</v>
      </c>
      <c r="X1314">
        <v>6.6825278768793328E-3</v>
      </c>
      <c r="Y1314">
        <v>2.2410342433912081E-3</v>
      </c>
    </row>
    <row r="1315" spans="1:25" x14ac:dyDescent="0.25">
      <c r="A1315" s="1096"/>
      <c r="B1315" s="1455">
        <v>1065</v>
      </c>
      <c r="C1315" s="1100">
        <v>0.9746314193376332</v>
      </c>
      <c r="D1315" s="1100">
        <v>1.0269903352612733</v>
      </c>
      <c r="E1315" s="1100">
        <v>1.0098677745322409</v>
      </c>
      <c r="F1315" s="1100">
        <v>0.96992278393156639</v>
      </c>
      <c r="G1315" s="1100">
        <v>0.96501352187911493</v>
      </c>
      <c r="H1315" s="1100">
        <v>0.95805922188349568</v>
      </c>
      <c r="I1315" s="1100">
        <v>0.9950713145518062</v>
      </c>
      <c r="K1315">
        <v>1.118095782331588</v>
      </c>
      <c r="L1315">
        <v>0</v>
      </c>
      <c r="M1315">
        <v>7.6302169412903605E-4</v>
      </c>
      <c r="N1315">
        <v>7.2331560687560262E-2</v>
      </c>
      <c r="O1315">
        <v>1.050940216922799E-2</v>
      </c>
      <c r="P1315">
        <v>1.3253476222643994E-2</v>
      </c>
      <c r="Q1315">
        <v>4.6088831477448589E-4</v>
      </c>
      <c r="R1315">
        <v>7.6125780977392076E-4</v>
      </c>
      <c r="S1315">
        <v>7.1672002576926283E-2</v>
      </c>
      <c r="T1315">
        <v>0.80210812590977332</v>
      </c>
      <c r="U1315">
        <v>0</v>
      </c>
      <c r="V1315">
        <v>9.1246792103871779E-2</v>
      </c>
      <c r="W1315">
        <v>4.7240129339636908E-2</v>
      </c>
      <c r="X1315">
        <v>7.2032760818937988E-3</v>
      </c>
      <c r="Y1315">
        <v>2.0718928096350644E-3</v>
      </c>
    </row>
    <row r="1316" spans="1:25" x14ac:dyDescent="0.25">
      <c r="A1316" s="1096"/>
      <c r="B1316" s="1455">
        <v>1066</v>
      </c>
      <c r="C1316" s="1100">
        <v>1.0088458532999902</v>
      </c>
      <c r="D1316" s="1100">
        <v>0.98876268698989911</v>
      </c>
      <c r="E1316" s="1100">
        <v>0.98042028855110908</v>
      </c>
      <c r="F1316" s="1100">
        <v>0.99516018513272375</v>
      </c>
      <c r="G1316" s="1100">
        <v>1.0173091774886183</v>
      </c>
      <c r="H1316" s="1100">
        <v>1.0207960481631244</v>
      </c>
      <c r="I1316" s="1100">
        <v>1.0054508527978394</v>
      </c>
      <c r="K1316">
        <v>1.1469375555150825</v>
      </c>
      <c r="L1316">
        <v>0</v>
      </c>
      <c r="M1316">
        <v>8.4761109402621668E-4</v>
      </c>
      <c r="N1316">
        <v>7.3518672918955572E-2</v>
      </c>
      <c r="O1316">
        <v>1.0298622056358557E-2</v>
      </c>
      <c r="P1316">
        <v>1.3318275612205992E-2</v>
      </c>
      <c r="Q1316">
        <v>4.3843665720053488E-4</v>
      </c>
      <c r="R1316">
        <v>8.4577208767055339E-4</v>
      </c>
      <c r="S1316">
        <v>7.3866691706387891E-2</v>
      </c>
      <c r="T1316">
        <v>0.82492372192366703</v>
      </c>
      <c r="U1316">
        <v>0</v>
      </c>
      <c r="V1316">
        <v>9.2615907880699844E-2</v>
      </c>
      <c r="W1316">
        <v>4.8866511609742418E-2</v>
      </c>
      <c r="X1316">
        <v>6.7906413422749853E-3</v>
      </c>
      <c r="Y1316">
        <v>2.3019128139454763E-3</v>
      </c>
    </row>
    <row r="1317" spans="1:25" x14ac:dyDescent="0.25">
      <c r="A1317" s="1096"/>
      <c r="B1317" s="1455">
        <v>1067</v>
      </c>
      <c r="C1317" s="1100">
        <v>1.0124531966283392</v>
      </c>
      <c r="D1317" s="1100">
        <v>0.96837069098867878</v>
      </c>
      <c r="E1317" s="1100">
        <v>1.0350484696322313</v>
      </c>
      <c r="F1317" s="1100">
        <v>1.0123491800748221</v>
      </c>
      <c r="G1317" s="1100">
        <v>0.9824988968064472</v>
      </c>
      <c r="H1317" s="1100">
        <v>1.0326834202860251</v>
      </c>
      <c r="I1317" s="1100">
        <v>1.0062065498888377</v>
      </c>
      <c r="K1317">
        <v>1.1656825286360306</v>
      </c>
      <c r="L1317">
        <v>0</v>
      </c>
      <c r="M1317">
        <v>7.6917468287294782E-4</v>
      </c>
      <c r="N1317">
        <v>7.8681704622170945E-2</v>
      </c>
      <c r="O1317">
        <v>1.036573577814843E-2</v>
      </c>
      <c r="P1317">
        <v>1.4011311459577243E-2</v>
      </c>
      <c r="Q1317">
        <v>4.6609565284163126E-4</v>
      </c>
      <c r="R1317">
        <v>7.6752506499554987E-4</v>
      </c>
      <c r="S1317">
        <v>7.5002722683195008E-2</v>
      </c>
      <c r="T1317">
        <v>0.83552485160538459</v>
      </c>
      <c r="U1317">
        <v>0</v>
      </c>
      <c r="V1317">
        <v>9.1048546617090886E-2</v>
      </c>
      <c r="W1317">
        <v>5.0637374145332183E-2</v>
      </c>
      <c r="X1317">
        <v>7.856885477818586E-3</v>
      </c>
      <c r="Y1317">
        <v>2.0889502123482102E-3</v>
      </c>
    </row>
    <row r="1318" spans="1:25" x14ac:dyDescent="0.25">
      <c r="A1318" s="1096"/>
      <c r="B1318" s="1455">
        <v>1068</v>
      </c>
      <c r="C1318" s="1100">
        <v>1.014949529906626</v>
      </c>
      <c r="D1318" s="1100">
        <v>0.99003719559446535</v>
      </c>
      <c r="E1318" s="1100">
        <v>0.95703810945604373</v>
      </c>
      <c r="F1318" s="1100">
        <v>0.99577981362557</v>
      </c>
      <c r="G1318" s="1100">
        <v>0.9578536455938369</v>
      </c>
      <c r="H1318" s="1100">
        <v>0.99310230875809136</v>
      </c>
      <c r="I1318" s="1100">
        <v>0.98202630070987962</v>
      </c>
      <c r="K1318">
        <v>1.1361389150391168</v>
      </c>
      <c r="L1318">
        <v>0</v>
      </c>
      <c r="M1318">
        <v>8.5974156170290155E-4</v>
      </c>
      <c r="N1318">
        <v>6.9469198308863042E-2</v>
      </c>
      <c r="O1318">
        <v>1.0223883355917002E-2</v>
      </c>
      <c r="P1318">
        <v>1.3029097080320625E-2</v>
      </c>
      <c r="Q1318">
        <v>4.2496896850541211E-4</v>
      </c>
      <c r="R1318">
        <v>8.5782422004477719E-4</v>
      </c>
      <c r="S1318">
        <v>7.0543955727715491E-2</v>
      </c>
      <c r="T1318">
        <v>0.82700238335057308</v>
      </c>
      <c r="U1318">
        <v>0</v>
      </c>
      <c r="V1318">
        <v>8.9922118457133632E-2</v>
      </c>
      <c r="W1318">
        <v>4.6837406288218114E-2</v>
      </c>
      <c r="X1318">
        <v>6.3531060982449893E-3</v>
      </c>
      <c r="Y1318">
        <v>2.3347147452837452E-3</v>
      </c>
    </row>
    <row r="1319" spans="1:25" x14ac:dyDescent="0.25">
      <c r="A1319" s="1096"/>
      <c r="B1319" s="1455">
        <v>1069</v>
      </c>
      <c r="C1319" s="1100">
        <v>1.0108067327360786</v>
      </c>
      <c r="D1319" s="1100">
        <v>1.0023865479660112</v>
      </c>
      <c r="E1319" s="1100">
        <v>0.97012737774699187</v>
      </c>
      <c r="F1319" s="1100">
        <v>1.0021443848438725</v>
      </c>
      <c r="G1319" s="1100">
        <v>1.0000399156994537</v>
      </c>
      <c r="H1319" s="1100">
        <v>0.99953894132836241</v>
      </c>
      <c r="I1319" s="1100">
        <v>1.0219298254762252</v>
      </c>
      <c r="K1319">
        <v>1.1476608839384184</v>
      </c>
      <c r="L1319">
        <v>0</v>
      </c>
      <c r="M1319">
        <v>8.4153679286292889E-4</v>
      </c>
      <c r="N1319">
        <v>7.0749631175574992E-2</v>
      </c>
      <c r="O1319">
        <v>1.0219217161673139E-2</v>
      </c>
      <c r="P1319">
        <v>1.3285258751485745E-2</v>
      </c>
      <c r="Q1319">
        <v>4.3051662729115921E-4</v>
      </c>
      <c r="R1319">
        <v>8.396721358115923E-4</v>
      </c>
      <c r="S1319">
        <v>7.3522980831786017E-2</v>
      </c>
      <c r="T1319">
        <v>0.83140432764318439</v>
      </c>
      <c r="U1319">
        <v>0</v>
      </c>
      <c r="V1319">
        <v>9.1828440388878302E-2</v>
      </c>
      <c r="W1319">
        <v>4.7320267053417971E-2</v>
      </c>
      <c r="X1319">
        <v>6.6167982063424944E-3</v>
      </c>
      <c r="Y1319">
        <v>2.2853107558339762E-3</v>
      </c>
    </row>
    <row r="1320" spans="1:25" x14ac:dyDescent="0.25">
      <c r="A1320" s="1096"/>
      <c r="B1320" s="1455">
        <v>1070</v>
      </c>
      <c r="C1320" s="1100">
        <v>1.0007926487857468</v>
      </c>
      <c r="D1320" s="1100">
        <v>1.0086044431121231</v>
      </c>
      <c r="E1320" s="1100">
        <v>0.97738617710000075</v>
      </c>
      <c r="F1320" s="1100">
        <v>0.98354374824769197</v>
      </c>
      <c r="G1320" s="1100">
        <v>1.0085831289745537</v>
      </c>
      <c r="H1320" s="1100">
        <v>1.0125265330216728</v>
      </c>
      <c r="I1320" s="1100">
        <v>1.0096082864877161</v>
      </c>
      <c r="K1320">
        <v>1.1356177675915455</v>
      </c>
      <c r="L1320">
        <v>0</v>
      </c>
      <c r="M1320">
        <v>8.46091801713005E-4</v>
      </c>
      <c r="N1320">
        <v>7.2714927194701864E-2</v>
      </c>
      <c r="O1320">
        <v>1.0298328593026892E-2</v>
      </c>
      <c r="P1320">
        <v>1.3156198769405573E-2</v>
      </c>
      <c r="Q1320">
        <v>4.3707338247295772E-4</v>
      </c>
      <c r="R1320">
        <v>8.4424109904011413E-4</v>
      </c>
      <c r="S1320">
        <v>7.3670399134309228E-2</v>
      </c>
      <c r="T1320">
        <v>0.81549404815808335</v>
      </c>
      <c r="U1320">
        <v>0</v>
      </c>
      <c r="V1320">
        <v>9.243995830026476E-2</v>
      </c>
      <c r="W1320">
        <v>4.8420982926510106E-2</v>
      </c>
      <c r="X1320">
        <v>6.6899558678599497E-3</v>
      </c>
      <c r="Y1320">
        <v>2.2977459675836884E-3</v>
      </c>
    </row>
    <row r="1321" spans="1:25" x14ac:dyDescent="0.25">
      <c r="A1321" s="1096"/>
      <c r="B1321" s="1455">
        <v>1071</v>
      </c>
      <c r="C1321" s="1100">
        <v>0.9846095449236415</v>
      </c>
      <c r="D1321" s="1100">
        <v>0.99129575951439808</v>
      </c>
      <c r="E1321" s="1100">
        <v>0.96664729427737317</v>
      </c>
      <c r="F1321" s="1100">
        <v>0.97843370362145188</v>
      </c>
      <c r="G1321" s="1100">
        <v>1.0368617239731552</v>
      </c>
      <c r="H1321" s="1100">
        <v>1.0191813430751004</v>
      </c>
      <c r="I1321" s="1100">
        <v>1.0230902809365745</v>
      </c>
      <c r="K1321">
        <v>1.1397012452966919</v>
      </c>
      <c r="L1321">
        <v>0</v>
      </c>
      <c r="M1321">
        <v>8.9121216365631859E-4</v>
      </c>
      <c r="N1321">
        <v>7.4143644354957031E-2</v>
      </c>
      <c r="O1321">
        <v>1.0536755581847308E-2</v>
      </c>
      <c r="P1321">
        <v>1.3064958762567268E-2</v>
      </c>
      <c r="Q1321">
        <v>4.423164269883924E-4</v>
      </c>
      <c r="R1321">
        <v>8.8927549547093828E-4</v>
      </c>
      <c r="S1321">
        <v>7.6826376887054987E-2</v>
      </c>
      <c r="T1321">
        <v>0.81196225806064892</v>
      </c>
      <c r="U1321">
        <v>0</v>
      </c>
      <c r="V1321">
        <v>9.4055073852636742E-2</v>
      </c>
      <c r="W1321">
        <v>4.969560611534634E-2</v>
      </c>
      <c r="X1321">
        <v>6.5558771737483897E-3</v>
      </c>
      <c r="Y1321">
        <v>2.4203147490835975E-3</v>
      </c>
    </row>
    <row r="1322" spans="1:25" x14ac:dyDescent="0.25">
      <c r="A1322" s="1096"/>
      <c r="B1322" s="1455">
        <v>1072</v>
      </c>
      <c r="C1322" s="1100">
        <v>0.99234326722206001</v>
      </c>
      <c r="D1322" s="1100">
        <v>1.0328307437014088</v>
      </c>
      <c r="E1322" s="1100">
        <v>0.99325745024247114</v>
      </c>
      <c r="F1322" s="1100">
        <v>0.99760854618462547</v>
      </c>
      <c r="G1322" s="1100">
        <v>0.99958775014290391</v>
      </c>
      <c r="H1322" s="1100">
        <v>1.0023768858528705</v>
      </c>
      <c r="I1322" s="1100">
        <v>1.0154062374263775</v>
      </c>
      <c r="K1322">
        <v>1.1463551152560481</v>
      </c>
      <c r="L1322">
        <v>0</v>
      </c>
      <c r="M1322">
        <v>8.0972229845580155E-4</v>
      </c>
      <c r="N1322">
        <v>7.3009550801017148E-2</v>
      </c>
      <c r="O1322">
        <v>1.0293028837807501E-2</v>
      </c>
      <c r="P1322">
        <v>1.3453333668244851E-2</v>
      </c>
      <c r="Q1322">
        <v>4.43931508283582E-4</v>
      </c>
      <c r="R1322">
        <v>8.0793321486049403E-4</v>
      </c>
      <c r="S1322">
        <v>7.3423541857648128E-2</v>
      </c>
      <c r="T1322">
        <v>0.82609995054340279</v>
      </c>
      <c r="U1322">
        <v>0</v>
      </c>
      <c r="V1322">
        <v>9.22682529595861E-2</v>
      </c>
      <c r="W1322">
        <v>4.8155416433188165E-2</v>
      </c>
      <c r="X1322">
        <v>7.0109698547254577E-3</v>
      </c>
      <c r="Y1322">
        <v>2.1989278757375652E-3</v>
      </c>
    </row>
    <row r="1323" spans="1:25" x14ac:dyDescent="0.25">
      <c r="A1323" s="1096"/>
      <c r="B1323" s="1455">
        <v>1073</v>
      </c>
      <c r="C1323" s="1100">
        <v>0.97974013369753743</v>
      </c>
      <c r="D1323" s="1100">
        <v>1.018149038247306</v>
      </c>
      <c r="E1323" s="1100">
        <v>1.022530932321398</v>
      </c>
      <c r="F1323" s="1100">
        <v>1.0034211373014739</v>
      </c>
      <c r="G1323" s="1100">
        <v>0.99428968041999743</v>
      </c>
      <c r="H1323" s="1100">
        <v>0.99424452501773275</v>
      </c>
      <c r="I1323" s="1100">
        <v>1.000926011503571</v>
      </c>
      <c r="K1323">
        <v>1.1543195179777093</v>
      </c>
      <c r="L1323">
        <v>0</v>
      </c>
      <c r="M1323">
        <v>7.6989792444651301E-4</v>
      </c>
      <c r="N1323">
        <v>7.5832656445372626E-2</v>
      </c>
      <c r="O1323">
        <v>1.0495032535500484E-2</v>
      </c>
      <c r="P1323">
        <v>1.3791546526768398E-2</v>
      </c>
      <c r="Q1323">
        <v>4.6610126464135502E-4</v>
      </c>
      <c r="R1323">
        <v>7.6818291894096061E-4</v>
      </c>
      <c r="S1323">
        <v>7.3546598972638266E-2</v>
      </c>
      <c r="T1323">
        <v>0.82897608224989394</v>
      </c>
      <c r="U1323">
        <v>0</v>
      </c>
      <c r="V1323">
        <v>9.2367850069620769E-2</v>
      </c>
      <c r="W1323">
        <v>4.9160052637492638E-2</v>
      </c>
      <c r="X1323">
        <v>7.5945716073604888E-3</v>
      </c>
      <c r="Y1323">
        <v>2.0907406739261235E-3</v>
      </c>
    </row>
    <row r="1324" spans="1:25" x14ac:dyDescent="0.25">
      <c r="A1324" s="1096"/>
      <c r="B1324" s="1455">
        <v>1074</v>
      </c>
      <c r="C1324" s="1100">
        <v>0.97438383373709059</v>
      </c>
      <c r="D1324" s="1100">
        <v>0.99846622222179571</v>
      </c>
      <c r="E1324" s="1100">
        <v>0.99091169672805446</v>
      </c>
      <c r="F1324" s="1100">
        <v>1.0144679508107572</v>
      </c>
      <c r="G1324" s="1100">
        <v>1.006214239420987</v>
      </c>
      <c r="H1324" s="1100">
        <v>0.97633486603274822</v>
      </c>
      <c r="I1324" s="1100">
        <v>0.99985449832708972</v>
      </c>
      <c r="K1324">
        <v>1.1627235345008542</v>
      </c>
      <c r="L1324">
        <v>0</v>
      </c>
      <c r="M1324">
        <v>8.1813431703711399E-4</v>
      </c>
      <c r="N1324">
        <v>7.3242454085689815E-2</v>
      </c>
      <c r="O1324">
        <v>1.0624810010111077E-2</v>
      </c>
      <c r="P1324">
        <v>1.3636345373099297E-2</v>
      </c>
      <c r="Q1324">
        <v>4.5715705748813901E-4</v>
      </c>
      <c r="R1324">
        <v>8.1627843063870431E-4</v>
      </c>
      <c r="S1324">
        <v>7.382982876038513E-2</v>
      </c>
      <c r="T1324">
        <v>0.8402190476508532</v>
      </c>
      <c r="U1324">
        <v>0</v>
      </c>
      <c r="V1324">
        <v>9.3011497547385275E-2</v>
      </c>
      <c r="W1324">
        <v>4.8376856038267378E-2</v>
      </c>
      <c r="X1324">
        <v>7.1057530618859367E-3</v>
      </c>
      <c r="Y1324">
        <v>2.2216408020862112E-3</v>
      </c>
    </row>
    <row r="1325" spans="1:25" x14ac:dyDescent="0.25">
      <c r="A1325" s="1096"/>
      <c r="B1325" s="1455">
        <v>1075</v>
      </c>
      <c r="C1325" s="1100">
        <v>1.0266777557439801</v>
      </c>
      <c r="D1325" s="1100">
        <v>1.0201409692159298</v>
      </c>
      <c r="E1325" s="1100">
        <v>0.97627065125655932</v>
      </c>
      <c r="F1325" s="1100">
        <v>1.0275376041896873</v>
      </c>
      <c r="G1325" s="1100">
        <v>0.98329030958953267</v>
      </c>
      <c r="H1325" s="1100">
        <v>0.98338971104665129</v>
      </c>
      <c r="I1325" s="1100">
        <v>0.9777086454723094</v>
      </c>
      <c r="K1325">
        <v>1.1577241209084643</v>
      </c>
      <c r="L1325">
        <v>0</v>
      </c>
      <c r="M1325">
        <v>7.9923083001672934E-4</v>
      </c>
      <c r="N1325">
        <v>6.8451651792525312E-2</v>
      </c>
      <c r="O1325">
        <v>9.9927655621677419E-3</v>
      </c>
      <c r="P1325">
        <v>1.3535804688915956E-2</v>
      </c>
      <c r="Q1325">
        <v>4.2362348787701866E-4</v>
      </c>
      <c r="R1325">
        <v>7.974308315046747E-4</v>
      </c>
      <c r="S1325">
        <v>6.8019369317536924E-2</v>
      </c>
      <c r="T1325">
        <v>0.85204779693788213</v>
      </c>
      <c r="U1325">
        <v>0</v>
      </c>
      <c r="V1325">
        <v>9.073397102013353E-2</v>
      </c>
      <c r="W1325">
        <v>4.5612852109834727E-2</v>
      </c>
      <c r="X1325">
        <v>6.7377421397498772E-3</v>
      </c>
      <c r="Y1325">
        <v>2.1703438503527673E-3</v>
      </c>
    </row>
    <row r="1326" spans="1:25" x14ac:dyDescent="0.25">
      <c r="A1326" s="1096"/>
      <c r="B1326" s="1455">
        <v>1076</v>
      </c>
      <c r="C1326" s="1100">
        <v>0.96663608196368844</v>
      </c>
      <c r="D1326" s="1100">
        <v>0.9737030781746755</v>
      </c>
      <c r="E1326" s="1100">
        <v>0.96726320118456743</v>
      </c>
      <c r="F1326" s="1100">
        <v>1.0097567941157863</v>
      </c>
      <c r="G1326" s="1100">
        <v>0.9844371466039239</v>
      </c>
      <c r="H1326" s="1100">
        <v>1.0332081646216031</v>
      </c>
      <c r="I1326" s="1100">
        <v>0.99384485159670288</v>
      </c>
      <c r="K1326">
        <v>1.1702748679274753</v>
      </c>
      <c r="L1326">
        <v>0</v>
      </c>
      <c r="M1326">
        <v>9.2571489449425374E-4</v>
      </c>
      <c r="N1326">
        <v>7.7160140738253322E-2</v>
      </c>
      <c r="O1326">
        <v>1.0810033752810174E-2</v>
      </c>
      <c r="P1326">
        <v>1.3399081995598224E-2</v>
      </c>
      <c r="Q1326">
        <v>4.5407445240443065E-4</v>
      </c>
      <c r="R1326">
        <v>9.2373055946067971E-4</v>
      </c>
      <c r="S1326">
        <v>7.7312366292860119E-2</v>
      </c>
      <c r="T1326">
        <v>0.83791417585383754</v>
      </c>
      <c r="U1326">
        <v>0</v>
      </c>
      <c r="V1326">
        <v>9.2280454405200857E-2</v>
      </c>
      <c r="W1326">
        <v>5.1698016347672078E-2</v>
      </c>
      <c r="X1326">
        <v>6.7344183487148285E-3</v>
      </c>
      <c r="Y1326">
        <v>2.5140900751548828E-3</v>
      </c>
    </row>
    <row r="1327" spans="1:25" x14ac:dyDescent="0.25">
      <c r="A1327" s="1096"/>
      <c r="B1327" s="1455">
        <v>1077</v>
      </c>
      <c r="C1327" s="1100">
        <v>0.97982065965243592</v>
      </c>
      <c r="D1327" s="1100">
        <v>0.98422617575272886</v>
      </c>
      <c r="E1327" s="1100">
        <v>1.0150229426499817</v>
      </c>
      <c r="F1327" s="1100">
        <v>1.0265020811013563</v>
      </c>
      <c r="G1327" s="1100">
        <v>0.96095496334687125</v>
      </c>
      <c r="H1327" s="1100">
        <v>0.98649778106600017</v>
      </c>
      <c r="I1327" s="1100">
        <v>0.98479836839871993</v>
      </c>
      <c r="K1327">
        <v>1.1725959902076386</v>
      </c>
      <c r="L1327">
        <v>0</v>
      </c>
      <c r="M1327">
        <v>7.8644807724435645E-4</v>
      </c>
      <c r="N1327">
        <v>7.5726505683932258E-2</v>
      </c>
      <c r="O1327">
        <v>1.0634848762977695E-2</v>
      </c>
      <c r="P1327">
        <v>1.3962378604460422E-2</v>
      </c>
      <c r="Q1327">
        <v>4.6879615340291765E-4</v>
      </c>
      <c r="R1327">
        <v>7.8468244797297868E-4</v>
      </c>
      <c r="S1327">
        <v>7.3298279582725404E-2</v>
      </c>
      <c r="T1327">
        <v>0.84854994580601106</v>
      </c>
      <c r="U1327">
        <v>0</v>
      </c>
      <c r="V1327">
        <v>9.0939602178294485E-2</v>
      </c>
      <c r="W1327">
        <v>4.9307558180274526E-2</v>
      </c>
      <c r="X1327">
        <v>7.5741939319469657E-3</v>
      </c>
      <c r="Y1327">
        <v>2.1356469528829932E-3</v>
      </c>
    </row>
    <row r="1328" spans="1:25" x14ac:dyDescent="0.25">
      <c r="A1328" s="1096"/>
      <c r="B1328" s="1455">
        <v>1078</v>
      </c>
      <c r="C1328" s="1100">
        <v>1.0220931104015831</v>
      </c>
      <c r="D1328" s="1100">
        <v>1.0051721494303274</v>
      </c>
      <c r="E1328" s="1100">
        <v>0.98699960254058272</v>
      </c>
      <c r="F1328" s="1100">
        <v>0.99674194626693791</v>
      </c>
      <c r="G1328" s="1100">
        <v>0.99985789589010121</v>
      </c>
      <c r="H1328" s="1100">
        <v>0.99214053329422058</v>
      </c>
      <c r="I1328" s="1100">
        <v>1.0078705028103501</v>
      </c>
      <c r="K1328">
        <v>1.1387468505408278</v>
      </c>
      <c r="L1328">
        <v>0</v>
      </c>
      <c r="M1328">
        <v>7.9688187629944809E-4</v>
      </c>
      <c r="N1328">
        <v>7.0503510576906361E-2</v>
      </c>
      <c r="O1328">
        <v>1.0100533140121009E-2</v>
      </c>
      <c r="P1328">
        <v>1.3348016295192477E-2</v>
      </c>
      <c r="Q1328">
        <v>4.3288273616521922E-4</v>
      </c>
      <c r="R1328">
        <v>7.9510299760052324E-4</v>
      </c>
      <c r="S1328">
        <v>7.1332001931949052E-2</v>
      </c>
      <c r="T1328">
        <v>0.8257972793135544</v>
      </c>
      <c r="U1328">
        <v>0</v>
      </c>
      <c r="V1328">
        <v>9.1552134757859685E-2</v>
      </c>
      <c r="W1328">
        <v>4.6677129685809358E-2</v>
      </c>
      <c r="X1328">
        <v>6.841132728131979E-3</v>
      </c>
      <c r="Y1328">
        <v>2.1640082538359078E-3</v>
      </c>
    </row>
    <row r="1329" spans="1:25" x14ac:dyDescent="0.25">
      <c r="A1329" s="1096"/>
      <c r="B1329" s="1455">
        <v>1079</v>
      </c>
      <c r="C1329" s="1100">
        <v>1.0003817510809179</v>
      </c>
      <c r="D1329" s="1100">
        <v>0.98345073489227819</v>
      </c>
      <c r="E1329" s="1100">
        <v>1.0185673311483501</v>
      </c>
      <c r="F1329" s="1100">
        <v>0.99975021376892281</v>
      </c>
      <c r="G1329" s="1100">
        <v>0.98740874063627004</v>
      </c>
      <c r="H1329" s="1100">
        <v>1.0073015061342356</v>
      </c>
      <c r="I1329" s="1100">
        <v>0.97309155499784938</v>
      </c>
      <c r="K1329">
        <v>1.1491259861297161</v>
      </c>
      <c r="L1329">
        <v>0</v>
      </c>
      <c r="M1329">
        <v>7.8099804614380577E-4</v>
      </c>
      <c r="N1329">
        <v>7.6013870006760839E-2</v>
      </c>
      <c r="O1329">
        <v>1.042072298967135E-2</v>
      </c>
      <c r="P1329">
        <v>1.3677735324332757E-2</v>
      </c>
      <c r="Q1329">
        <v>4.6098157804607179E-4</v>
      </c>
      <c r="R1329">
        <v>7.7928086527256283E-4</v>
      </c>
      <c r="S1329">
        <v>7.1800224578972324E-2</v>
      </c>
      <c r="T1329">
        <v>0.82620305481924161</v>
      </c>
      <c r="U1329">
        <v>0</v>
      </c>
      <c r="V1329">
        <v>9.1550951124148655E-2</v>
      </c>
      <c r="W1329">
        <v>4.9391881703447001E-2</v>
      </c>
      <c r="X1329">
        <v>7.4873355605620156E-3</v>
      </c>
      <c r="Y1329">
        <v>2.1209456254037201E-3</v>
      </c>
    </row>
    <row r="1330" spans="1:25" x14ac:dyDescent="0.25">
      <c r="A1330" s="1096"/>
      <c r="B1330" s="1455">
        <v>1080</v>
      </c>
      <c r="C1330" s="1100">
        <v>1.0343233063229187</v>
      </c>
      <c r="D1330" s="1100">
        <v>0.98832354306339365</v>
      </c>
      <c r="E1330" s="1100">
        <v>0.99662757558975679</v>
      </c>
      <c r="F1330" s="1100">
        <v>0.97607859616191361</v>
      </c>
      <c r="G1330" s="1100">
        <v>1.030792526013226</v>
      </c>
      <c r="H1330" s="1100">
        <v>1.0280384870507795</v>
      </c>
      <c r="I1330" s="1100">
        <v>0.97609619289830241</v>
      </c>
      <c r="K1330">
        <v>1.1253433098518981</v>
      </c>
      <c r="L1330">
        <v>0</v>
      </c>
      <c r="M1330">
        <v>8.0526427618534638E-4</v>
      </c>
      <c r="N1330">
        <v>7.3354977863747922E-2</v>
      </c>
      <c r="O1330">
        <v>1.0051874808671151E-2</v>
      </c>
      <c r="P1330">
        <v>1.3203281520611145E-2</v>
      </c>
      <c r="Q1330">
        <v>4.3500593891352855E-4</v>
      </c>
      <c r="R1330">
        <v>8.0352945531948089E-4</v>
      </c>
      <c r="S1330">
        <v>7.0257284358180197E-2</v>
      </c>
      <c r="T1330">
        <v>0.8080531040277894</v>
      </c>
      <c r="U1330">
        <v>0</v>
      </c>
      <c r="V1330">
        <v>9.2589359442483185E-2</v>
      </c>
      <c r="W1330">
        <v>4.8286049448792341E-2</v>
      </c>
      <c r="X1330">
        <v>6.9271649696093871E-3</v>
      </c>
      <c r="Y1330">
        <v>2.1869422939658693E-3</v>
      </c>
    </row>
    <row r="1331" spans="1:25" x14ac:dyDescent="0.25">
      <c r="A1331" s="1096"/>
      <c r="B1331" s="1455">
        <v>1081</v>
      </c>
      <c r="C1331" s="1100">
        <v>1.0094141650010955</v>
      </c>
      <c r="D1331" s="1100">
        <v>1.0066182749689521</v>
      </c>
      <c r="E1331" s="1100">
        <v>0.97373574809548236</v>
      </c>
      <c r="F1331" s="1100">
        <v>0.9949479191313414</v>
      </c>
      <c r="G1331" s="1100">
        <v>1.0230300304895446</v>
      </c>
      <c r="H1331" s="1100">
        <v>0.98599309738588414</v>
      </c>
      <c r="I1331" s="1100">
        <v>0.97126203477661655</v>
      </c>
      <c r="K1331">
        <v>1.1367830856656236</v>
      </c>
      <c r="L1331">
        <v>0</v>
      </c>
      <c r="M1331">
        <v>8.2371683704693616E-4</v>
      </c>
      <c r="N1331">
        <v>7.0010000147167045E-2</v>
      </c>
      <c r="O1331">
        <v>1.0217247292664398E-2</v>
      </c>
      <c r="P1331">
        <v>1.3196120723687768E-2</v>
      </c>
      <c r="Q1331">
        <v>4.3202230876061598E-4</v>
      </c>
      <c r="R1331">
        <v>8.2186659031205595E-4</v>
      </c>
      <c r="S1331">
        <v>6.9298347153897169E-2</v>
      </c>
      <c r="T1331">
        <v>0.82519301304468362</v>
      </c>
      <c r="U1331">
        <v>0</v>
      </c>
      <c r="V1331">
        <v>9.2845990600327763E-2</v>
      </c>
      <c r="W1331">
        <v>4.6723004308004794E-2</v>
      </c>
      <c r="X1331">
        <v>6.632340402584572E-3</v>
      </c>
      <c r="Y1331">
        <v>2.2368499305807331E-3</v>
      </c>
    </row>
    <row r="1332" spans="1:25" x14ac:dyDescent="0.25">
      <c r="A1332" s="1096"/>
      <c r="B1332" s="1455">
        <v>1082</v>
      </c>
      <c r="C1332" s="1100">
        <v>1.0215483845908744</v>
      </c>
      <c r="D1332" s="1100">
        <v>1.0170452788158884</v>
      </c>
      <c r="E1332" s="1100">
        <v>0.98408173138707822</v>
      </c>
      <c r="F1332" s="1100">
        <v>1.0111227670661314</v>
      </c>
      <c r="G1332" s="1100">
        <v>1.0029150578306276</v>
      </c>
      <c r="H1332" s="1100">
        <v>1.0072350143874402</v>
      </c>
      <c r="I1332" s="1100">
        <v>1.0087632345658237</v>
      </c>
      <c r="K1332">
        <v>1.1524515716293295</v>
      </c>
      <c r="L1332">
        <v>0</v>
      </c>
      <c r="M1332">
        <v>8.1052384128697948E-4</v>
      </c>
      <c r="N1332">
        <v>7.1082803279657172E-2</v>
      </c>
      <c r="O1332">
        <v>1.0057635190205272E-2</v>
      </c>
      <c r="P1332">
        <v>1.3487280055461832E-2</v>
      </c>
      <c r="Q1332">
        <v>4.297716993584723E-4</v>
      </c>
      <c r="R1332">
        <v>8.0874162438855494E-4</v>
      </c>
      <c r="S1332">
        <v>7.1602618496926632E-2</v>
      </c>
      <c r="T1332">
        <v>0.83790844657111541</v>
      </c>
      <c r="U1332">
        <v>0</v>
      </c>
      <c r="V1332">
        <v>9.1695419001641076E-2</v>
      </c>
      <c r="W1332">
        <v>4.714327721366357E-2</v>
      </c>
      <c r="X1332">
        <v>6.8449742382171485E-3</v>
      </c>
      <c r="Y1332">
        <v>2.2011280999808171E-3</v>
      </c>
    </row>
    <row r="1333" spans="1:25" x14ac:dyDescent="0.25">
      <c r="A1333" s="1096"/>
      <c r="B1333" s="1455">
        <v>1083</v>
      </c>
      <c r="C1333" s="1100">
        <v>1.0042464389538208</v>
      </c>
      <c r="D1333" s="1100">
        <v>0.99469980304500494</v>
      </c>
      <c r="E1333" s="1100">
        <v>0.98717953862407215</v>
      </c>
      <c r="F1333" s="1100">
        <v>1.0407040458210974</v>
      </c>
      <c r="G1333" s="1100">
        <v>0.95661064865851009</v>
      </c>
      <c r="H1333" s="1100">
        <v>1.006856977526392</v>
      </c>
      <c r="I1333" s="1100">
        <v>1.0171903387733203</v>
      </c>
      <c r="K1333">
        <v>1.1821201138019222</v>
      </c>
      <c r="L1333">
        <v>0</v>
      </c>
      <c r="M1333">
        <v>8.262211302037507E-4</v>
      </c>
      <c r="N1333">
        <v>7.3141457371844784E-2</v>
      </c>
      <c r="O1333">
        <v>1.0323246359052842E-2</v>
      </c>
      <c r="P1333">
        <v>1.3861976349087174E-2</v>
      </c>
      <c r="Q1333">
        <v>4.4250825210721264E-4</v>
      </c>
      <c r="R1333">
        <v>8.2440371527368135E-4</v>
      </c>
      <c r="S1333">
        <v>7.4274171889802731E-2</v>
      </c>
      <c r="T1333">
        <v>0.86220725202709891</v>
      </c>
      <c r="U1333">
        <v>0</v>
      </c>
      <c r="V1333">
        <v>9.0133650169037294E-2</v>
      </c>
      <c r="W1333">
        <v>4.8418361396625677E-2</v>
      </c>
      <c r="X1333">
        <v>7.0755522538322466E-3</v>
      </c>
      <c r="Y1333">
        <v>2.2437551483632592E-3</v>
      </c>
    </row>
    <row r="1334" spans="1:25" x14ac:dyDescent="0.25">
      <c r="A1334" s="1096"/>
      <c r="B1334" s="1455">
        <v>1084</v>
      </c>
      <c r="C1334" s="1100">
        <v>0.99910200210224431</v>
      </c>
      <c r="D1334" s="1100">
        <v>1.0175747032702693</v>
      </c>
      <c r="E1334" s="1100">
        <v>1.009230352653063</v>
      </c>
      <c r="F1334" s="1100">
        <v>1.0160152668066345</v>
      </c>
      <c r="G1334" s="1100">
        <v>1.0004108040372341</v>
      </c>
      <c r="H1334" s="1100">
        <v>1.008599138105815</v>
      </c>
      <c r="I1334" s="1100">
        <v>0.99373277124903758</v>
      </c>
      <c r="K1334">
        <v>1.1618241426853271</v>
      </c>
      <c r="L1334">
        <v>0</v>
      </c>
      <c r="M1334">
        <v>7.8753306497463037E-4</v>
      </c>
      <c r="N1334">
        <v>7.4520265728673235E-2</v>
      </c>
      <c r="O1334">
        <v>1.0289632095586868E-2</v>
      </c>
      <c r="P1334">
        <v>1.3790242471632583E-2</v>
      </c>
      <c r="Q1334">
        <v>4.5096281704410876E-4</v>
      </c>
      <c r="R1334">
        <v>7.8580374331067317E-4</v>
      </c>
      <c r="S1334">
        <v>7.2185268463608399E-2</v>
      </c>
      <c r="T1334">
        <v>0.84026842892810982</v>
      </c>
      <c r="U1334">
        <v>0</v>
      </c>
      <c r="V1334">
        <v>9.2136920658483501E-2</v>
      </c>
      <c r="W1334">
        <v>4.8687887812322632E-2</v>
      </c>
      <c r="X1334">
        <v>7.3575642823729198E-3</v>
      </c>
      <c r="Y1334">
        <v>2.1386987491572884E-3</v>
      </c>
    </row>
    <row r="1335" spans="1:25" x14ac:dyDescent="0.25">
      <c r="A1335" s="1096"/>
      <c r="B1335" s="1455">
        <v>1085</v>
      </c>
      <c r="C1335" s="1100">
        <v>0.99756997746162723</v>
      </c>
      <c r="D1335" s="1100">
        <v>0.98604583549216562</v>
      </c>
      <c r="E1335" s="1100">
        <v>1.0256629155622285</v>
      </c>
      <c r="F1335" s="1100">
        <v>0.98709581368725874</v>
      </c>
      <c r="G1335" s="1100">
        <v>0.97153632706684434</v>
      </c>
      <c r="H1335" s="1100">
        <v>1.0134897523234148</v>
      </c>
      <c r="I1335" s="1100">
        <v>1.0066228347649204</v>
      </c>
      <c r="K1335">
        <v>1.1421377375387556</v>
      </c>
      <c r="L1335">
        <v>0</v>
      </c>
      <c r="M1335">
        <v>7.7564083314876154E-4</v>
      </c>
      <c r="N1335">
        <v>7.712663826529903E-2</v>
      </c>
      <c r="O1335">
        <v>1.0441434299181379E-2</v>
      </c>
      <c r="P1335">
        <v>1.3628491671871216E-2</v>
      </c>
      <c r="Q1335">
        <v>4.6516373155920139E-4</v>
      </c>
      <c r="R1335">
        <v>7.7394584416363543E-4</v>
      </c>
      <c r="S1335">
        <v>7.464714073115801E-2</v>
      </c>
      <c r="T1335">
        <v>0.81528665865778749</v>
      </c>
      <c r="U1335">
        <v>0</v>
      </c>
      <c r="V1335">
        <v>9.0943708728837502E-2</v>
      </c>
      <c r="W1335">
        <v>4.9907663552564173E-2</v>
      </c>
      <c r="X1335">
        <v>7.5861074328472276E-3</v>
      </c>
      <c r="Y1335">
        <v>2.1064254566344554E-3</v>
      </c>
    </row>
    <row r="1336" spans="1:25" x14ac:dyDescent="0.25">
      <c r="A1336" s="1096"/>
      <c r="B1336" s="1455">
        <v>1086</v>
      </c>
      <c r="C1336" s="1100">
        <v>1.0014544436051354</v>
      </c>
      <c r="D1336" s="1100">
        <v>0.99312328227228286</v>
      </c>
      <c r="E1336" s="1100">
        <v>0.96392256037060942</v>
      </c>
      <c r="F1336" s="1100">
        <v>0.98844136057304455</v>
      </c>
      <c r="G1336" s="1100">
        <v>1.0188698915164862</v>
      </c>
      <c r="H1336" s="1100">
        <v>1.0370271042802395</v>
      </c>
      <c r="I1336" s="1100">
        <v>1.000819829858796</v>
      </c>
      <c r="K1336">
        <v>1.144229407595075</v>
      </c>
      <c r="L1336">
        <v>0</v>
      </c>
      <c r="M1336">
        <v>8.9592923631777953E-4</v>
      </c>
      <c r="N1336">
        <v>7.392622900341321E-2</v>
      </c>
      <c r="O1336">
        <v>1.0351005323271996E-2</v>
      </c>
      <c r="P1336">
        <v>1.310395358611746E-2</v>
      </c>
      <c r="Q1336">
        <v>4.3330734006080522E-4</v>
      </c>
      <c r="R1336">
        <v>8.9401582129552731E-4</v>
      </c>
      <c r="S1336">
        <v>7.4544140732010586E-2</v>
      </c>
      <c r="T1336">
        <v>0.82044853394407535</v>
      </c>
      <c r="U1336">
        <v>0</v>
      </c>
      <c r="V1336">
        <v>9.2862027062746058E-2</v>
      </c>
      <c r="W1336">
        <v>4.9632429897543261E-2</v>
      </c>
      <c r="X1336">
        <v>6.4964777675287919E-3</v>
      </c>
      <c r="Y1336">
        <v>2.4332163533301405E-3</v>
      </c>
    </row>
    <row r="1337" spans="1:25" x14ac:dyDescent="0.25">
      <c r="A1337" s="1096"/>
      <c r="B1337" s="1455">
        <v>1087</v>
      </c>
      <c r="C1337" s="1100">
        <v>1.0390081586906563</v>
      </c>
      <c r="D1337" s="1100">
        <v>1.0140312643131495</v>
      </c>
      <c r="E1337" s="1100">
        <v>0.99116811677403627</v>
      </c>
      <c r="F1337" s="1100">
        <v>0.99577250963700759</v>
      </c>
      <c r="G1337" s="1100">
        <v>0.98009332186286868</v>
      </c>
      <c r="H1337" s="1100">
        <v>1.0035912037297425</v>
      </c>
      <c r="I1337" s="1100">
        <v>0.97577856761830128</v>
      </c>
      <c r="K1337">
        <v>1.1322602639264099</v>
      </c>
      <c r="L1337">
        <v>0</v>
      </c>
      <c r="M1337">
        <v>7.8338618156111072E-4</v>
      </c>
      <c r="N1337">
        <v>7.0190392340084881E-2</v>
      </c>
      <c r="O1337">
        <v>9.9025858372499779E-3</v>
      </c>
      <c r="P1337">
        <v>1.3314418399206957E-2</v>
      </c>
      <c r="Q1337">
        <v>4.2619207246994312E-4</v>
      </c>
      <c r="R1337">
        <v>7.8165738202107813E-4</v>
      </c>
      <c r="S1337">
        <v>6.8070464387543925E-2</v>
      </c>
      <c r="T1337">
        <v>0.82471782856510234</v>
      </c>
      <c r="U1337">
        <v>0</v>
      </c>
      <c r="V1337">
        <v>9.0312884325555537E-2</v>
      </c>
      <c r="W1337">
        <v>4.6353845129802569E-2</v>
      </c>
      <c r="X1337">
        <v>6.8459679483590238E-3</v>
      </c>
      <c r="Y1337">
        <v>2.1274137205746424E-3</v>
      </c>
    </row>
    <row r="1338" spans="1:25" x14ac:dyDescent="0.25">
      <c r="A1338" s="1096"/>
      <c r="B1338" s="1455">
        <v>1088</v>
      </c>
      <c r="C1338" s="1100">
        <v>0.96087645141830347</v>
      </c>
      <c r="D1338" s="1100">
        <v>0.98748818192410448</v>
      </c>
      <c r="E1338" s="1100">
        <v>1.038930138188604</v>
      </c>
      <c r="F1338" s="1100">
        <v>1.0088673505473584</v>
      </c>
      <c r="G1338" s="1100">
        <v>0.99381376356879148</v>
      </c>
      <c r="H1338" s="1100">
        <v>0.98754270341956207</v>
      </c>
      <c r="I1338" s="1100">
        <v>0.99120900701417025</v>
      </c>
      <c r="K1338">
        <v>1.165494900376618</v>
      </c>
      <c r="L1338">
        <v>0</v>
      </c>
      <c r="M1338">
        <v>7.6279619380835559E-4</v>
      </c>
      <c r="N1338">
        <v>7.8939424255147758E-2</v>
      </c>
      <c r="O1338">
        <v>1.0838395079683401E-2</v>
      </c>
      <c r="P1338">
        <v>1.4034476752510287E-2</v>
      </c>
      <c r="Q1338">
        <v>4.8921554577879378E-4</v>
      </c>
      <c r="R1338">
        <v>7.6108547665245828E-4</v>
      </c>
      <c r="S1338">
        <v>7.5175130491360667E-2</v>
      </c>
      <c r="T1338">
        <v>0.83239661532425169</v>
      </c>
      <c r="U1338">
        <v>0</v>
      </c>
      <c r="V1338">
        <v>9.2847461445762489E-2</v>
      </c>
      <c r="W1338">
        <v>5.0689517838984656E-2</v>
      </c>
      <c r="X1338">
        <v>8.0149505846044064E-3</v>
      </c>
      <c r="Y1338">
        <v>2.0714237756880422E-3</v>
      </c>
    </row>
    <row r="1339" spans="1:25" x14ac:dyDescent="0.25">
      <c r="A1339" s="1096"/>
      <c r="B1339" s="1455">
        <v>1089</v>
      </c>
      <c r="C1339" s="1100">
        <v>0.99061696666080468</v>
      </c>
      <c r="D1339" s="1100">
        <v>1.0141124803215633</v>
      </c>
      <c r="E1339" s="1100">
        <v>0.99608020343186432</v>
      </c>
      <c r="F1339" s="1100">
        <v>1.0091287073259496</v>
      </c>
      <c r="G1339" s="1100">
        <v>1.011711326569777</v>
      </c>
      <c r="H1339" s="1100">
        <v>1.0061362239128824</v>
      </c>
      <c r="I1339" s="1100">
        <v>0.98063505250341454</v>
      </c>
      <c r="K1339">
        <v>1.1568789844198506</v>
      </c>
      <c r="L1339">
        <v>0</v>
      </c>
      <c r="M1339">
        <v>8.1536942920086737E-4</v>
      </c>
      <c r="N1339">
        <v>7.4149251629814505E-2</v>
      </c>
      <c r="O1339">
        <v>1.0387602219676828E-2</v>
      </c>
      <c r="P1339">
        <v>1.3595258947586451E-2</v>
      </c>
      <c r="Q1339">
        <v>4.4928714303217311E-4</v>
      </c>
      <c r="R1339">
        <v>8.1357459962642595E-4</v>
      </c>
      <c r="S1339">
        <v>7.1855664429721369E-2</v>
      </c>
      <c r="T1339">
        <v>0.83545049122737447</v>
      </c>
      <c r="U1339">
        <v>0</v>
      </c>
      <c r="V1339">
        <v>9.2830543455776821E-2</v>
      </c>
      <c r="W1339">
        <v>4.8824808906571933E-2</v>
      </c>
      <c r="X1339">
        <v>7.1235894244798441E-3</v>
      </c>
      <c r="Y1339">
        <v>2.214281865388443E-3</v>
      </c>
    </row>
    <row r="1340" spans="1:25" x14ac:dyDescent="0.25">
      <c r="A1340" s="1096"/>
      <c r="B1340" s="1455">
        <v>1090</v>
      </c>
      <c r="C1340" s="1100">
        <v>0.97463987686215359</v>
      </c>
      <c r="D1340" s="1100">
        <v>0.98015655228792664</v>
      </c>
      <c r="E1340" s="1100">
        <v>0.99450704925179612</v>
      </c>
      <c r="F1340" s="1100">
        <v>1.0381568969098496</v>
      </c>
      <c r="G1340" s="1100">
        <v>1.0172938873976991</v>
      </c>
      <c r="H1340" s="1100">
        <v>0.98990027259037927</v>
      </c>
      <c r="I1340" s="1100">
        <v>0.98344170883369419</v>
      </c>
      <c r="K1340">
        <v>1.1860896265498948</v>
      </c>
      <c r="L1340">
        <v>0</v>
      </c>
      <c r="M1340">
        <v>8.2924544344776141E-4</v>
      </c>
      <c r="N1340">
        <v>7.5050723296140681E-2</v>
      </c>
      <c r="O1340">
        <v>1.0702163316989042E-2</v>
      </c>
      <c r="P1340">
        <v>1.3942986925042554E-2</v>
      </c>
      <c r="Q1340">
        <v>4.6215931559603337E-4</v>
      </c>
      <c r="R1340">
        <v>8.273901302759284E-4</v>
      </c>
      <c r="S1340">
        <v>7.3859861955026432E-2</v>
      </c>
      <c r="T1340">
        <v>0.8595910965143263</v>
      </c>
      <c r="U1340">
        <v>0</v>
      </c>
      <c r="V1340">
        <v>9.3479085991328689E-2</v>
      </c>
      <c r="W1340">
        <v>4.946479782590419E-2</v>
      </c>
      <c r="X1340">
        <v>7.2867235371839433E-3</v>
      </c>
      <c r="Y1340">
        <v>2.2518831855279343E-3</v>
      </c>
    </row>
    <row r="1341" spans="1:25" x14ac:dyDescent="0.25">
      <c r="A1341" s="1096"/>
      <c r="B1341" s="1455">
        <v>1091</v>
      </c>
      <c r="C1341" s="1100">
        <v>0.99491334789002472</v>
      </c>
      <c r="D1341" s="1100">
        <v>0.9860391066303491</v>
      </c>
      <c r="E1341" s="1100">
        <v>0.9989580759113218</v>
      </c>
      <c r="F1341" s="1100">
        <v>1.0215100823432191</v>
      </c>
      <c r="G1341" s="1100">
        <v>0.99371645858372726</v>
      </c>
      <c r="H1341" s="1100">
        <v>0.95843710631252244</v>
      </c>
      <c r="I1341" s="1100">
        <v>1.0149626148009081</v>
      </c>
      <c r="K1341">
        <v>1.1627889095291828</v>
      </c>
      <c r="L1341">
        <v>0</v>
      </c>
      <c r="M1341">
        <v>7.7744020882885157E-4</v>
      </c>
      <c r="N1341">
        <v>7.1309665270687078E-2</v>
      </c>
      <c r="O1341">
        <v>1.0460492317180395E-2</v>
      </c>
      <c r="P1341">
        <v>1.376704754523865E-2</v>
      </c>
      <c r="Q1341">
        <v>4.5375231050738692E-4</v>
      </c>
      <c r="R1341">
        <v>7.7564370164999344E-4</v>
      </c>
      <c r="S1341">
        <v>7.3136559652697011E-2</v>
      </c>
      <c r="T1341">
        <v>0.84550608036043595</v>
      </c>
      <c r="U1341">
        <v>0</v>
      </c>
      <c r="V1341">
        <v>9.1953572426971095E-2</v>
      </c>
      <c r="W1341">
        <v>4.6874633172153471E-2</v>
      </c>
      <c r="X1341">
        <v>7.2178565154756612E-3</v>
      </c>
      <c r="Y1341">
        <v>2.1110464650137511E-3</v>
      </c>
    </row>
    <row r="1342" spans="1:25" x14ac:dyDescent="0.25">
      <c r="A1342" s="1096"/>
      <c r="B1342" s="1455">
        <v>1092</v>
      </c>
      <c r="C1342" s="1100">
        <v>0.95365372884859745</v>
      </c>
      <c r="D1342" s="1100">
        <v>1.0259619940168105</v>
      </c>
      <c r="E1342" s="1100">
        <v>1.0221084093651016</v>
      </c>
      <c r="F1342" s="1100">
        <v>1.0264140336395668</v>
      </c>
      <c r="G1342" s="1100">
        <v>0.98334649489917036</v>
      </c>
      <c r="H1342" s="1100">
        <v>1.0295783001413272</v>
      </c>
      <c r="I1342" s="1100">
        <v>1.0179307653193677</v>
      </c>
      <c r="K1342">
        <v>1.1865513890670267</v>
      </c>
      <c r="L1342">
        <v>0</v>
      </c>
      <c r="M1342">
        <v>8.1728490067782403E-4</v>
      </c>
      <c r="N1342">
        <v>8.0403765092780688E-2</v>
      </c>
      <c r="O1342">
        <v>1.0749052667472439E-2</v>
      </c>
      <c r="P1342">
        <v>1.4116592565323211E-2</v>
      </c>
      <c r="Q1342">
        <v>4.7718248084164763E-4</v>
      </c>
      <c r="R1342">
        <v>8.1552681647065358E-4</v>
      </c>
      <c r="S1342">
        <v>7.8060009964545263E-2</v>
      </c>
      <c r="T1342">
        <v>0.84800005513281884</v>
      </c>
      <c r="U1342">
        <v>0</v>
      </c>
      <c r="V1342">
        <v>9.2592253329814661E-2</v>
      </c>
      <c r="W1342">
        <v>5.2136229154937319E-2</v>
      </c>
      <c r="X1342">
        <v>7.7984116066076182E-3</v>
      </c>
      <c r="Y1342">
        <v>2.2195951560903216E-3</v>
      </c>
    </row>
    <row r="1343" spans="1:25" x14ac:dyDescent="0.25">
      <c r="A1343" s="1096"/>
      <c r="B1343" s="1455">
        <v>1093</v>
      </c>
      <c r="C1343" s="1100">
        <v>0.95214747825119239</v>
      </c>
      <c r="D1343" s="1100">
        <v>0.97205827082519103</v>
      </c>
      <c r="E1343" s="1100">
        <v>0.97115941736931266</v>
      </c>
      <c r="F1343" s="1100">
        <v>1.0041570578887651</v>
      </c>
      <c r="G1343" s="1100">
        <v>0.97617028326106203</v>
      </c>
      <c r="H1343" s="1100">
        <v>1.0294001775630479</v>
      </c>
      <c r="I1343" s="1100">
        <v>1.034425436041764</v>
      </c>
      <c r="K1343">
        <v>1.1719487952812422</v>
      </c>
      <c r="L1343">
        <v>0</v>
      </c>
      <c r="M1343">
        <v>9.2946555071371137E-4</v>
      </c>
      <c r="N1343">
        <v>7.8391578195969008E-2</v>
      </c>
      <c r="O1343">
        <v>1.0983299460143791E-2</v>
      </c>
      <c r="P1343">
        <v>1.3431497157691267E-2</v>
      </c>
      <c r="Q1343">
        <v>4.6319414993685492E-4</v>
      </c>
      <c r="R1343">
        <v>9.2746580563365672E-4</v>
      </c>
      <c r="S1343">
        <v>8.1599369565652238E-2</v>
      </c>
      <c r="T1343">
        <v>0.83300449790286735</v>
      </c>
      <c r="U1343">
        <v>0</v>
      </c>
      <c r="V1343">
        <v>9.2317393202886358E-2</v>
      </c>
      <c r="W1343">
        <v>5.2398609098049408E-2</v>
      </c>
      <c r="X1343">
        <v>6.8371001092103487E-3</v>
      </c>
      <c r="Y1343">
        <v>2.5242561839141568E-3</v>
      </c>
    </row>
    <row r="1344" spans="1:25" x14ac:dyDescent="0.25">
      <c r="A1344" s="1096"/>
      <c r="B1344" s="1455">
        <v>1094</v>
      </c>
      <c r="C1344" s="1100">
        <v>0.99483053062705995</v>
      </c>
      <c r="D1344" s="1100">
        <v>0.98530986715182545</v>
      </c>
      <c r="E1344" s="1100">
        <v>1.0080419252080228</v>
      </c>
      <c r="F1344" s="1100">
        <v>0.99298003104528265</v>
      </c>
      <c r="G1344" s="1100">
        <v>1.0323439951288271</v>
      </c>
      <c r="H1344" s="1100">
        <v>0.96256641173448454</v>
      </c>
      <c r="I1344" s="1100">
        <v>1.022155423260299</v>
      </c>
      <c r="K1344">
        <v>1.1421292154465379</v>
      </c>
      <c r="L1344">
        <v>0</v>
      </c>
      <c r="M1344">
        <v>7.6649804796659847E-4</v>
      </c>
      <c r="N1344">
        <v>7.2262436040070946E-2</v>
      </c>
      <c r="O1344">
        <v>1.046746744882273E-2</v>
      </c>
      <c r="P1344">
        <v>1.3561304743321768E-2</v>
      </c>
      <c r="Q1344">
        <v>4.5821170305571156E-4</v>
      </c>
      <c r="R1344">
        <v>7.647344242601191E-4</v>
      </c>
      <c r="S1344">
        <v>7.3873598937906515E-2</v>
      </c>
      <c r="T1344">
        <v>0.82129554633088675</v>
      </c>
      <c r="U1344">
        <v>0</v>
      </c>
      <c r="V1344">
        <v>9.360833620552815E-2</v>
      </c>
      <c r="W1344">
        <v>4.7245865879998288E-2</v>
      </c>
      <c r="X1344">
        <v>7.2768567724525429E-3</v>
      </c>
      <c r="Y1344">
        <v>2.0813550082008389E-3</v>
      </c>
    </row>
    <row r="1345" spans="1:25" x14ac:dyDescent="0.25">
      <c r="A1345" s="1096"/>
      <c r="B1345" s="1455">
        <v>1095</v>
      </c>
      <c r="C1345" s="1100">
        <v>1.0204293854318507</v>
      </c>
      <c r="D1345" s="1100">
        <v>1.0421681445311803</v>
      </c>
      <c r="E1345" s="1100">
        <v>0.95575167336190814</v>
      </c>
      <c r="F1345" s="1100">
        <v>1.0188226765914496</v>
      </c>
      <c r="G1345" s="1100">
        <v>0.97847680000037862</v>
      </c>
      <c r="H1345" s="1100">
        <v>1.018888984769033</v>
      </c>
      <c r="I1345" s="1100">
        <v>1.0312583402533482</v>
      </c>
      <c r="K1345">
        <v>1.1582902202137673</v>
      </c>
      <c r="L1345">
        <v>0</v>
      </c>
      <c r="M1345">
        <v>8.6178436425896185E-4</v>
      </c>
      <c r="N1345">
        <v>6.9367203905511682E-2</v>
      </c>
      <c r="O1345">
        <v>9.9619715602102671E-3</v>
      </c>
      <c r="P1345">
        <v>1.3309228027420251E-2</v>
      </c>
      <c r="Q1345">
        <v>4.1353402246615336E-4</v>
      </c>
      <c r="R1345">
        <v>8.5991110744502888E-4</v>
      </c>
      <c r="S1345">
        <v>7.2807653029443947E-2</v>
      </c>
      <c r="T1345">
        <v>0.84622826758274161</v>
      </c>
      <c r="U1345">
        <v>0</v>
      </c>
      <c r="V1345">
        <v>9.0673218203223938E-2</v>
      </c>
      <c r="W1345">
        <v>4.6805671120231034E-2</v>
      </c>
      <c r="X1345">
        <v>6.3849514544858784E-3</v>
      </c>
      <c r="Y1345">
        <v>2.3403945648449833E-3</v>
      </c>
    </row>
    <row r="1346" spans="1:25" x14ac:dyDescent="0.25">
      <c r="A1346" s="1096"/>
      <c r="B1346" s="1455">
        <v>1096</v>
      </c>
      <c r="C1346" s="1100">
        <v>0.95436721751584919</v>
      </c>
      <c r="D1346" s="1100">
        <v>1.0122412585028391</v>
      </c>
      <c r="E1346" s="1100">
        <v>1.0031879587696999</v>
      </c>
      <c r="F1346" s="1100">
        <v>0.96928644113589124</v>
      </c>
      <c r="G1346" s="1100">
        <v>1.0088720090949848</v>
      </c>
      <c r="H1346" s="1100">
        <v>0.99351489015852623</v>
      </c>
      <c r="I1346" s="1100">
        <v>1.0412709705657865</v>
      </c>
      <c r="K1346">
        <v>1.1352001408955261</v>
      </c>
      <c r="L1346">
        <v>0</v>
      </c>
      <c r="M1346">
        <v>8.2410088538722602E-4</v>
      </c>
      <c r="N1346">
        <v>7.6567924242716981E-2</v>
      </c>
      <c r="O1346">
        <v>1.0792548660025521E-2</v>
      </c>
      <c r="P1346">
        <v>1.3316021021087874E-2</v>
      </c>
      <c r="Q1346">
        <v>4.701497111477801E-4</v>
      </c>
      <c r="R1346">
        <v>8.222637905435622E-4</v>
      </c>
      <c r="S1346">
        <v>7.8723346551970608E-2</v>
      </c>
      <c r="T1346">
        <v>0.80200916594207106</v>
      </c>
      <c r="U1346">
        <v>0</v>
      </c>
      <c r="V1346">
        <v>9.3660485841924018E-2</v>
      </c>
      <c r="W1346">
        <v>5.020482534452983E-2</v>
      </c>
      <c r="X1346">
        <v>7.2195796962226258E-3</v>
      </c>
      <c r="Y1346">
        <v>2.2379309786738728E-3</v>
      </c>
    </row>
    <row r="1347" spans="1:25" x14ac:dyDescent="0.25">
      <c r="A1347" s="1096"/>
      <c r="B1347" s="1455">
        <v>1097</v>
      </c>
      <c r="C1347" s="1100">
        <v>1.0415025104012452</v>
      </c>
      <c r="D1347" s="1100">
        <v>1.0142273377270354</v>
      </c>
      <c r="E1347" s="1100">
        <v>1.0129625713857082</v>
      </c>
      <c r="F1347" s="1100">
        <v>0.96425111853571888</v>
      </c>
      <c r="G1347" s="1100">
        <v>0.97652098169093016</v>
      </c>
      <c r="H1347" s="1100">
        <v>0.99305705313830261</v>
      </c>
      <c r="I1347" s="1100">
        <v>0.99983257193787101</v>
      </c>
      <c r="K1347">
        <v>1.1059196967834679</v>
      </c>
      <c r="L1347">
        <v>0</v>
      </c>
      <c r="M1347">
        <v>7.3905771296085398E-4</v>
      </c>
      <c r="N1347">
        <v>7.0723222143393161E-2</v>
      </c>
      <c r="O1347">
        <v>9.8849182470414354E-3</v>
      </c>
      <c r="P1347">
        <v>1.3166658494397829E-2</v>
      </c>
      <c r="Q1347">
        <v>4.3484380417793428E-4</v>
      </c>
      <c r="R1347">
        <v>7.3740943773409828E-4</v>
      </c>
      <c r="S1347">
        <v>6.9189809683804393E-2</v>
      </c>
      <c r="T1347">
        <v>0.79722130198275898</v>
      </c>
      <c r="U1347">
        <v>0</v>
      </c>
      <c r="V1347">
        <v>9.0106290518708734E-2</v>
      </c>
      <c r="W1347">
        <v>4.6105592527193824E-2</v>
      </c>
      <c r="X1347">
        <v>7.0817222546608856E-3</v>
      </c>
      <c r="Y1347">
        <v>2.0069854025563973E-3</v>
      </c>
    </row>
    <row r="1348" spans="1:25" x14ac:dyDescent="0.25">
      <c r="A1348" s="1096"/>
      <c r="B1348" s="1455">
        <v>1098</v>
      </c>
      <c r="C1348" s="1100">
        <v>1.0124330484360922</v>
      </c>
      <c r="D1348" s="1100">
        <v>1.0100123712320572</v>
      </c>
      <c r="E1348" s="1100">
        <v>0.98996738305500087</v>
      </c>
      <c r="F1348" s="1100">
        <v>0.9669930212302581</v>
      </c>
      <c r="G1348" s="1100">
        <v>0.97316260299265001</v>
      </c>
      <c r="H1348" s="1100">
        <v>0.99868275318975464</v>
      </c>
      <c r="I1348" s="1100">
        <v>1.0054361999220576</v>
      </c>
      <c r="K1348">
        <v>1.1152609957009947</v>
      </c>
      <c r="L1348">
        <v>0</v>
      </c>
      <c r="M1348">
        <v>8.0328418272516478E-4</v>
      </c>
      <c r="N1348">
        <v>7.1711645224670578E-2</v>
      </c>
      <c r="O1348">
        <v>1.0178285976565098E-2</v>
      </c>
      <c r="P1348">
        <v>1.303767934188765E-2</v>
      </c>
      <c r="Q1348">
        <v>4.3752661911226307E-4</v>
      </c>
      <c r="R1348">
        <v>8.0150275895288562E-4</v>
      </c>
      <c r="S1348">
        <v>7.1928297785197423E-2</v>
      </c>
      <c r="T1348">
        <v>0.80095933111280215</v>
      </c>
      <c r="U1348">
        <v>0</v>
      </c>
      <c r="V1348">
        <v>9.0642356520558506E-2</v>
      </c>
      <c r="W1348">
        <v>4.7392545419963086E-2</v>
      </c>
      <c r="X1348">
        <v>6.793682829453123E-3</v>
      </c>
      <c r="Y1348">
        <v>2.181426294556275E-3</v>
      </c>
    </row>
    <row r="1349" spans="1:25" x14ac:dyDescent="0.25">
      <c r="A1349" s="1096"/>
      <c r="B1349" s="1455">
        <v>1099</v>
      </c>
      <c r="C1349" s="1100">
        <v>0.96041813320893199</v>
      </c>
      <c r="D1349" s="1100">
        <v>0.96723330793232443</v>
      </c>
      <c r="E1349" s="1100">
        <v>1.0068956682171692</v>
      </c>
      <c r="F1349" s="1100">
        <v>1.009653932758154</v>
      </c>
      <c r="G1349" s="1100">
        <v>1.00503055028768</v>
      </c>
      <c r="H1349" s="1100">
        <v>1.0187319241351125</v>
      </c>
      <c r="I1349" s="1100">
        <v>0.9850190726632202</v>
      </c>
      <c r="K1349">
        <v>1.1721774498573965</v>
      </c>
      <c r="L1349">
        <v>0</v>
      </c>
      <c r="M1349">
        <v>8.485539574164309E-4</v>
      </c>
      <c r="N1349">
        <v>7.9732071527306839E-2</v>
      </c>
      <c r="O1349">
        <v>1.092273129907393E-2</v>
      </c>
      <c r="P1349">
        <v>1.3776461653117238E-2</v>
      </c>
      <c r="Q1349">
        <v>4.775924789597178E-4</v>
      </c>
      <c r="R1349">
        <v>8.4670917510741616E-4</v>
      </c>
      <c r="S1349">
        <v>7.6822797327803977E-2</v>
      </c>
      <c r="T1349">
        <v>0.83516290028682005</v>
      </c>
      <c r="U1349">
        <v>0</v>
      </c>
      <c r="V1349">
        <v>9.3333262929320579E-2</v>
      </c>
      <c r="W1349">
        <v>5.2164902155765136E-2</v>
      </c>
      <c r="X1349">
        <v>7.4821117244981365E-3</v>
      </c>
      <c r="Y1349">
        <v>2.3044632570378273E-3</v>
      </c>
    </row>
    <row r="1350" spans="1:25" x14ac:dyDescent="0.25">
      <c r="A1350" s="1096"/>
      <c r="B1350" s="1455">
        <v>1100</v>
      </c>
      <c r="C1350" s="1100">
        <v>1.0090573793606472</v>
      </c>
      <c r="D1350" s="1100">
        <v>1.000012645102895</v>
      </c>
      <c r="E1350" s="1100">
        <v>1.006663788418813</v>
      </c>
      <c r="F1350" s="1100">
        <v>0.9830293525941467</v>
      </c>
      <c r="G1350" s="1100">
        <v>1.0051816106801512</v>
      </c>
      <c r="H1350" s="1100">
        <v>1.0127095127064012</v>
      </c>
      <c r="I1350" s="1100">
        <v>1.0289495262766959</v>
      </c>
      <c r="K1350">
        <v>1.1366858112587856</v>
      </c>
      <c r="L1350">
        <v>0</v>
      </c>
      <c r="M1350">
        <v>7.9262603989107183E-4</v>
      </c>
      <c r="N1350">
        <v>7.4423860849971157E-2</v>
      </c>
      <c r="O1350">
        <v>1.0258476117938812E-2</v>
      </c>
      <c r="P1350">
        <v>1.3428396487780764E-2</v>
      </c>
      <c r="Q1350">
        <v>4.4844401655762738E-4</v>
      </c>
      <c r="R1350">
        <v>7.9089259905095214E-4</v>
      </c>
      <c r="S1350">
        <v>7.4836795659906918E-2</v>
      </c>
      <c r="T1350">
        <v>0.81315469063390455</v>
      </c>
      <c r="U1350">
        <v>0</v>
      </c>
      <c r="V1350">
        <v>9.2095713425388803E-2</v>
      </c>
      <c r="W1350">
        <v>4.8698667607369392E-2</v>
      </c>
      <c r="X1350">
        <v>7.1899509638659164E-3</v>
      </c>
      <c r="Y1350">
        <v>2.1525489369414838E-3</v>
      </c>
    </row>
    <row r="1351" spans="1:25" x14ac:dyDescent="0.25">
      <c r="A1351" s="1096"/>
      <c r="B1351" s="1455">
        <v>1101</v>
      </c>
      <c r="C1351" s="1100">
        <v>1.0185210355281342</v>
      </c>
      <c r="D1351" s="1100">
        <v>1.0088894526143397</v>
      </c>
      <c r="E1351" s="1100">
        <v>1.0004604601453859</v>
      </c>
      <c r="F1351" s="1100">
        <v>0.96457110844900207</v>
      </c>
      <c r="G1351" s="1100">
        <v>1.0150653725601764</v>
      </c>
      <c r="H1351" s="1100">
        <v>0.99600877383206243</v>
      </c>
      <c r="I1351" s="1100">
        <v>0.98132385936486288</v>
      </c>
      <c r="K1351">
        <v>1.1120384528332881</v>
      </c>
      <c r="L1351">
        <v>0</v>
      </c>
      <c r="M1351">
        <v>7.7955837991526382E-4</v>
      </c>
      <c r="N1351">
        <v>7.1835530421815744E-2</v>
      </c>
      <c r="O1351">
        <v>1.0125307856015229E-2</v>
      </c>
      <c r="P1351">
        <v>1.3096659097205698E-2</v>
      </c>
      <c r="Q1351">
        <v>4.3987666462912383E-4</v>
      </c>
      <c r="R1351">
        <v>7.7782493095766413E-4</v>
      </c>
      <c r="S1351">
        <v>6.9730901236996851E-2</v>
      </c>
      <c r="T1351">
        <v>0.79828161517588625</v>
      </c>
      <c r="U1351">
        <v>0</v>
      </c>
      <c r="V1351">
        <v>9.2289165763762851E-2</v>
      </c>
      <c r="W1351">
        <v>4.7178149399468461E-2</v>
      </c>
      <c r="X1351">
        <v>6.9459976143182592E-3</v>
      </c>
      <c r="Y1351">
        <v>2.1169830521471835E-3</v>
      </c>
    </row>
    <row r="1352" spans="1:25" x14ac:dyDescent="0.25">
      <c r="A1352" s="1096"/>
      <c r="B1352" s="1455">
        <v>1102</v>
      </c>
      <c r="C1352" s="1100">
        <v>1.0266033586059338</v>
      </c>
      <c r="D1352" s="1100">
        <v>0.99602316511953826</v>
      </c>
      <c r="E1352" s="1100">
        <v>0.97246939586618475</v>
      </c>
      <c r="F1352" s="1100">
        <v>1.0314685159084749</v>
      </c>
      <c r="G1352" s="1100">
        <v>0.99228512939246716</v>
      </c>
      <c r="H1352" s="1100">
        <v>1.042724343833799</v>
      </c>
      <c r="I1352" s="1100">
        <v>1.0412772534079482</v>
      </c>
      <c r="K1352">
        <v>1.177545463863777</v>
      </c>
      <c r="L1352">
        <v>0</v>
      </c>
      <c r="M1352">
        <v>8.6241123492435167E-4</v>
      </c>
      <c r="N1352">
        <v>7.3027236389157688E-2</v>
      </c>
      <c r="O1352">
        <v>1.0088380074640796E-2</v>
      </c>
      <c r="P1352">
        <v>1.3652585136881478E-2</v>
      </c>
      <c r="Q1352">
        <v>4.2602252753399931E-4</v>
      </c>
      <c r="R1352">
        <v>8.6057946691276311E-4</v>
      </c>
      <c r="S1352">
        <v>7.5790641860977837E-2</v>
      </c>
      <c r="T1352">
        <v>0.85557019324902628</v>
      </c>
      <c r="U1352">
        <v>0</v>
      </c>
      <c r="V1352">
        <v>9.1119947070796667E-2</v>
      </c>
      <c r="W1352">
        <v>4.8774121280195412E-2</v>
      </c>
      <c r="X1352">
        <v>6.7559544235850201E-3</v>
      </c>
      <c r="Y1352">
        <v>2.3422136189915161E-3</v>
      </c>
    </row>
    <row r="1353" spans="1:25" x14ac:dyDescent="0.25">
      <c r="A1353" s="1096"/>
      <c r="B1353" s="1455">
        <v>1103</v>
      </c>
      <c r="C1353" s="1100">
        <v>1.030856502303241</v>
      </c>
      <c r="D1353" s="1100">
        <v>0.99043173785199456</v>
      </c>
      <c r="E1353" s="1100">
        <v>0.99261565625064063</v>
      </c>
      <c r="F1353" s="1100">
        <v>1.0176868021380676</v>
      </c>
      <c r="G1353" s="1100">
        <v>1.0166586513447231</v>
      </c>
      <c r="H1353" s="1100">
        <v>0.97261794232289611</v>
      </c>
      <c r="I1353" s="1100">
        <v>1.0021576974957984</v>
      </c>
      <c r="K1353">
        <v>1.1531801682537974</v>
      </c>
      <c r="L1353">
        <v>0</v>
      </c>
      <c r="M1353">
        <v>7.7014130840657405E-4</v>
      </c>
      <c r="N1353">
        <v>6.9301404536151703E-2</v>
      </c>
      <c r="O1353">
        <v>1.0075809286069166E-2</v>
      </c>
      <c r="P1353">
        <v>1.36248414024216E-2</v>
      </c>
      <c r="Q1353">
        <v>4.3428162062466896E-4</v>
      </c>
      <c r="R1353">
        <v>7.6838761479703646E-4</v>
      </c>
      <c r="S1353">
        <v>7.0092031449412853E-2</v>
      </c>
      <c r="T1353">
        <v>0.8427697487922885</v>
      </c>
      <c r="U1353">
        <v>0</v>
      </c>
      <c r="V1353">
        <v>9.2065144491952133E-2</v>
      </c>
      <c r="W1353">
        <v>4.5727145387559329E-2</v>
      </c>
      <c r="X1353">
        <v>7.0002171923582704E-3</v>
      </c>
      <c r="Y1353">
        <v>2.0912977885683909E-3</v>
      </c>
    </row>
    <row r="1354" spans="1:25" x14ac:dyDescent="0.25">
      <c r="A1354" s="1096"/>
      <c r="B1354" s="1455">
        <v>1104</v>
      </c>
      <c r="C1354" s="1100">
        <v>0.99892090948063861</v>
      </c>
      <c r="D1354" s="1100">
        <v>0.9842189745218225</v>
      </c>
      <c r="E1354" s="1100">
        <v>0.99727129347902432</v>
      </c>
      <c r="F1354" s="1100">
        <v>0.99984627546113014</v>
      </c>
      <c r="G1354" s="1100">
        <v>0.98824212657732002</v>
      </c>
      <c r="H1354" s="1100">
        <v>1.0310872303800307</v>
      </c>
      <c r="I1354" s="1100">
        <v>1.0171242673555294</v>
      </c>
      <c r="K1354">
        <v>1.1558289616388819</v>
      </c>
      <c r="L1354">
        <v>0</v>
      </c>
      <c r="M1354">
        <v>8.3655213664448312E-4</v>
      </c>
      <c r="N1354">
        <v>7.6353992739892407E-2</v>
      </c>
      <c r="O1354">
        <v>1.042567250877589E-2</v>
      </c>
      <c r="P1354">
        <v>1.3543021319807868E-2</v>
      </c>
      <c r="Q1354">
        <v>4.5147497229003011E-4</v>
      </c>
      <c r="R1354">
        <v>8.3475523964970791E-4</v>
      </c>
      <c r="S1354">
        <v>7.6094585541392312E-2</v>
      </c>
      <c r="T1354">
        <v>0.82768665988748313</v>
      </c>
      <c r="U1354">
        <v>0</v>
      </c>
      <c r="V1354">
        <v>9.1619327413963447E-2</v>
      </c>
      <c r="W1354">
        <v>5.0240884769547474E-2</v>
      </c>
      <c r="X1354">
        <v>7.1432107973879002E-3</v>
      </c>
      <c r="Y1354">
        <v>2.2719285853357099E-3</v>
      </c>
    </row>
    <row r="1355" spans="1:25" x14ac:dyDescent="0.25">
      <c r="A1355" s="1096"/>
      <c r="B1355" s="1455">
        <v>1105</v>
      </c>
      <c r="C1355" s="1100">
        <v>0.97676858476686113</v>
      </c>
      <c r="D1355" s="1100">
        <v>1.0081731128014995</v>
      </c>
      <c r="E1355" s="1100">
        <v>1.0073263552470015</v>
      </c>
      <c r="F1355" s="1100">
        <v>1.0143219310770937</v>
      </c>
      <c r="G1355" s="1100">
        <v>0.98748519395185486</v>
      </c>
      <c r="H1355" s="1100">
        <v>1.00783033210216</v>
      </c>
      <c r="I1355" s="1100">
        <v>0.99030779345040565</v>
      </c>
      <c r="K1355">
        <v>1.1656682497069184</v>
      </c>
      <c r="L1355">
        <v>0</v>
      </c>
      <c r="M1355">
        <v>8.1112106147389383E-4</v>
      </c>
      <c r="N1355">
        <v>7.631217570671732E-2</v>
      </c>
      <c r="O1355">
        <v>1.0563413774953184E-2</v>
      </c>
      <c r="P1355">
        <v>1.3777047111726637E-2</v>
      </c>
      <c r="Q1355">
        <v>4.6208066497750082E-4</v>
      </c>
      <c r="R1355">
        <v>8.0933858489806948E-4</v>
      </c>
      <c r="S1355">
        <v>7.3898225058150024E-2</v>
      </c>
      <c r="T1355">
        <v>0.83899534167067291</v>
      </c>
      <c r="U1355">
        <v>0</v>
      </c>
      <c r="V1355">
        <v>9.2151299901533035E-2</v>
      </c>
      <c r="W1355">
        <v>4.9914719830855388E-2</v>
      </c>
      <c r="X1355">
        <v>7.3929756342087771E-3</v>
      </c>
      <c r="Y1355">
        <v>2.2027528296997365E-3</v>
      </c>
    </row>
    <row r="1356" spans="1:25" x14ac:dyDescent="0.25">
      <c r="A1356" s="1096"/>
      <c r="B1356" s="1455">
        <v>1106</v>
      </c>
      <c r="C1356" s="1100">
        <v>0.98680439878096748</v>
      </c>
      <c r="D1356" s="1100">
        <v>0.96692027795507951</v>
      </c>
      <c r="E1356" s="1100">
        <v>1.0324011927102326</v>
      </c>
      <c r="F1356" s="1100">
        <v>0.98163876769803993</v>
      </c>
      <c r="G1356" s="1100">
        <v>1.0060813793770336</v>
      </c>
      <c r="H1356" s="1100">
        <v>1.021925089567481</v>
      </c>
      <c r="I1356" s="1100">
        <v>1.0156488664692058</v>
      </c>
      <c r="K1356">
        <v>1.146153984765317</v>
      </c>
      <c r="L1356">
        <v>0</v>
      </c>
      <c r="M1356">
        <v>7.857387017957937E-4</v>
      </c>
      <c r="N1356">
        <v>7.9735586963697369E-2</v>
      </c>
      <c r="O1356">
        <v>1.0640643581949409E-2</v>
      </c>
      <c r="P1356">
        <v>1.3687686452958923E-2</v>
      </c>
      <c r="Q1356">
        <v>4.7720879001485851E-4</v>
      </c>
      <c r="R1356">
        <v>7.8403581937931145E-4</v>
      </c>
      <c r="S1356">
        <v>7.7273800128547593E-2</v>
      </c>
      <c r="T1356">
        <v>0.81034774871733417</v>
      </c>
      <c r="U1356">
        <v>0</v>
      </c>
      <c r="V1356">
        <v>9.2692368655903495E-2</v>
      </c>
      <c r="W1356">
        <v>5.1394309660854877E-2</v>
      </c>
      <c r="X1356">
        <v>7.7724476534606242E-3</v>
      </c>
      <c r="Y1356">
        <v>2.1338870430120888E-3</v>
      </c>
    </row>
    <row r="1357" spans="1:25" x14ac:dyDescent="0.25">
      <c r="A1357" s="1096"/>
      <c r="B1357" s="1455">
        <v>1107</v>
      </c>
      <c r="C1357" s="1100">
        <v>0.99362782498430291</v>
      </c>
      <c r="D1357" s="1100">
        <v>1.0037013595288025</v>
      </c>
      <c r="E1357" s="1100">
        <v>1.0015691883597677</v>
      </c>
      <c r="F1357" s="1100">
        <v>0.99677489870628455</v>
      </c>
      <c r="G1357" s="1100">
        <v>0.99447790384366219</v>
      </c>
      <c r="H1357" s="1100">
        <v>1.0047657527253784</v>
      </c>
      <c r="I1357" s="1100">
        <v>1.0155089501972094</v>
      </c>
      <c r="K1357">
        <v>1.1485844631143414</v>
      </c>
      <c r="L1357">
        <v>0</v>
      </c>
      <c r="M1357">
        <v>8.0592239482075848E-4</v>
      </c>
      <c r="N1357">
        <v>7.4515559811549156E-2</v>
      </c>
      <c r="O1357">
        <v>1.0400766647364277E-2</v>
      </c>
      <c r="P1357">
        <v>1.3532078127689154E-2</v>
      </c>
      <c r="Q1357">
        <v>4.5234706417350144E-4</v>
      </c>
      <c r="R1357">
        <v>8.0414594077207464E-4</v>
      </c>
      <c r="S1357">
        <v>7.4528800764052008E-2</v>
      </c>
      <c r="T1357">
        <v>0.8248604276385163</v>
      </c>
      <c r="U1357">
        <v>0</v>
      </c>
      <c r="V1357">
        <v>9.2018760371628303E-2</v>
      </c>
      <c r="W1357">
        <v>4.8906052561249254E-2</v>
      </c>
      <c r="X1357">
        <v>7.1828264180236077E-3</v>
      </c>
      <c r="Y1357">
        <v>2.1886201641434554E-3</v>
      </c>
    </row>
    <row r="1358" spans="1:25" x14ac:dyDescent="0.25">
      <c r="A1358" s="1096"/>
      <c r="B1358" s="1455">
        <v>1108</v>
      </c>
      <c r="C1358" s="1100">
        <v>1.0000040675895425</v>
      </c>
      <c r="D1358" s="1100">
        <v>1.024372126939926</v>
      </c>
      <c r="E1358" s="1100">
        <v>1.0125949533615553</v>
      </c>
      <c r="F1358" s="1100">
        <v>0.97488986261938193</v>
      </c>
      <c r="G1358" s="1100">
        <v>1.0356158855813138</v>
      </c>
      <c r="H1358" s="1100">
        <v>0.98981177561906153</v>
      </c>
      <c r="I1358" s="1100">
        <v>1.0108456431813753</v>
      </c>
      <c r="K1358">
        <v>1.1261742925438121</v>
      </c>
      <c r="L1358">
        <v>0</v>
      </c>
      <c r="M1358">
        <v>7.6474768646116512E-4</v>
      </c>
      <c r="N1358">
        <v>7.3099898831610222E-2</v>
      </c>
      <c r="O1358">
        <v>1.0254101292704076E-2</v>
      </c>
      <c r="P1358">
        <v>1.3376364691931809E-2</v>
      </c>
      <c r="Q1358">
        <v>4.5091891726030311E-4</v>
      </c>
      <c r="R1358">
        <v>7.6303652443659932E-4</v>
      </c>
      <c r="S1358">
        <v>7.2350952482381825E-2</v>
      </c>
      <c r="T1358">
        <v>0.80604075667046948</v>
      </c>
      <c r="U1358">
        <v>0</v>
      </c>
      <c r="V1358">
        <v>9.3619919077171571E-2</v>
      </c>
      <c r="W1358">
        <v>4.7665294798621659E-2</v>
      </c>
      <c r="X1358">
        <v>7.2410630590911641E-3</v>
      </c>
      <c r="Y1358">
        <v>2.0767338845937441E-3</v>
      </c>
    </row>
    <row r="1359" spans="1:25" x14ac:dyDescent="0.25">
      <c r="A1359" s="1096"/>
      <c r="B1359" s="1455">
        <v>1109</v>
      </c>
      <c r="C1359" s="1100">
        <v>1.0455418701656478</v>
      </c>
      <c r="D1359" s="1100">
        <v>1.0120889852464761</v>
      </c>
      <c r="E1359" s="1100">
        <v>0.99987476252090812</v>
      </c>
      <c r="F1359" s="1100">
        <v>0.97817557470960237</v>
      </c>
      <c r="G1359" s="1100">
        <v>0.96614139601450755</v>
      </c>
      <c r="H1359" s="1100">
        <v>1.0346589327535165</v>
      </c>
      <c r="I1359" s="1100">
        <v>0.97215193520845911</v>
      </c>
      <c r="K1359">
        <v>1.1205676035391676</v>
      </c>
      <c r="L1359">
        <v>0</v>
      </c>
      <c r="M1359">
        <v>7.8883989002347414E-4</v>
      </c>
      <c r="N1359">
        <v>7.2568340725583755E-2</v>
      </c>
      <c r="O1359">
        <v>9.8509637036861726E-3</v>
      </c>
      <c r="P1359">
        <v>1.3192892750857823E-2</v>
      </c>
      <c r="Q1359">
        <v>4.2770639781259572E-4</v>
      </c>
      <c r="R1359">
        <v>7.8715132717341102E-4</v>
      </c>
      <c r="S1359">
        <v>6.8639010619974433E-2</v>
      </c>
      <c r="T1359">
        <v>0.80957863423509169</v>
      </c>
      <c r="U1359">
        <v>0</v>
      </c>
      <c r="V1359">
        <v>8.9568587848109393E-2</v>
      </c>
      <c r="W1359">
        <v>4.7676015499292998E-2</v>
      </c>
      <c r="X1359">
        <v>6.9247738934076685E-3</v>
      </c>
      <c r="Y1359">
        <v>2.1423664282007602E-3</v>
      </c>
    </row>
    <row r="1360" spans="1:25" x14ac:dyDescent="0.25">
      <c r="A1360" s="1096"/>
      <c r="B1360" s="1455">
        <v>1110</v>
      </c>
      <c r="C1360" s="1100">
        <v>0.96381612960351015</v>
      </c>
      <c r="D1360" s="1100">
        <v>0.98951449791770973</v>
      </c>
      <c r="E1360" s="1100">
        <v>1.0272810135502044</v>
      </c>
      <c r="F1360" s="1100">
        <v>1.0014148960943885</v>
      </c>
      <c r="G1360" s="1100">
        <v>1.0117626318552859</v>
      </c>
      <c r="H1360" s="1100">
        <v>1.0316043667764863</v>
      </c>
      <c r="I1360" s="1100">
        <v>0.99309722202600992</v>
      </c>
      <c r="K1360">
        <v>1.1663593356397304</v>
      </c>
      <c r="L1360">
        <v>0</v>
      </c>
      <c r="M1360">
        <v>8.1326122034811618E-4</v>
      </c>
      <c r="N1360">
        <v>8.1266112443295832E-2</v>
      </c>
      <c r="O1360">
        <v>1.0792488923064222E-2</v>
      </c>
      <c r="P1360">
        <v>1.3874341267143521E-2</v>
      </c>
      <c r="Q1360">
        <v>4.8157444306418752E-4</v>
      </c>
      <c r="R1360">
        <v>8.1151522746196697E-4</v>
      </c>
      <c r="S1360">
        <v>7.6850983962386418E-2</v>
      </c>
      <c r="T1360">
        <v>0.8270075431808549</v>
      </c>
      <c r="U1360">
        <v>0</v>
      </c>
      <c r="V1360">
        <v>9.3533541165250519E-2</v>
      </c>
      <c r="W1360">
        <v>5.25367583022609E-2</v>
      </c>
      <c r="X1360">
        <v>7.8090610120670218E-3</v>
      </c>
      <c r="Y1360">
        <v>2.2086769332286377E-3</v>
      </c>
    </row>
    <row r="1361" spans="1:25" x14ac:dyDescent="0.25">
      <c r="A1361" s="1096"/>
      <c r="B1361" s="1455">
        <v>1111</v>
      </c>
      <c r="C1361" s="1100">
        <v>0.99627653437391661</v>
      </c>
      <c r="D1361" s="1100">
        <v>0.97256475515763097</v>
      </c>
      <c r="E1361" s="1100">
        <v>0.96691139259183601</v>
      </c>
      <c r="F1361" s="1100">
        <v>1.0391932659818077</v>
      </c>
      <c r="G1361" s="1100">
        <v>0.97216492344735517</v>
      </c>
      <c r="H1361" s="1100">
        <v>0.99178256501293771</v>
      </c>
      <c r="I1361" s="1100">
        <v>0.99581204146877711</v>
      </c>
      <c r="K1361">
        <v>1.180569708680639</v>
      </c>
      <c r="L1361">
        <v>0</v>
      </c>
      <c r="M1361">
        <v>8.631921371805944E-4</v>
      </c>
      <c r="N1361">
        <v>7.1865680135850582E-2</v>
      </c>
      <c r="O1361">
        <v>1.0493214388828014E-2</v>
      </c>
      <c r="P1361">
        <v>1.365265559750976E-2</v>
      </c>
      <c r="Q1361">
        <v>4.4060776674999312E-4</v>
      </c>
      <c r="R1361">
        <v>8.6126453866040723E-4</v>
      </c>
      <c r="S1361">
        <v>7.3502811196778969E-2</v>
      </c>
      <c r="T1361">
        <v>0.86236567807743059</v>
      </c>
      <c r="U1361">
        <v>0</v>
      </c>
      <c r="V1361">
        <v>9.0993093683884307E-2</v>
      </c>
      <c r="W1361">
        <v>4.816101333161827E-2</v>
      </c>
      <c r="X1361">
        <v>6.7528039420546321E-3</v>
      </c>
      <c r="Y1361">
        <v>2.3440781584547635E-3</v>
      </c>
    </row>
    <row r="1362" spans="1:25" x14ac:dyDescent="0.25">
      <c r="A1362" s="1096"/>
      <c r="B1362" s="1455">
        <v>1112</v>
      </c>
      <c r="C1362" s="1100">
        <v>1.0062899363838353</v>
      </c>
      <c r="D1362" s="1100">
        <v>0.98465869913271553</v>
      </c>
      <c r="E1362" s="1100">
        <v>0.95807735884225453</v>
      </c>
      <c r="F1362" s="1100">
        <v>0.99942853566351952</v>
      </c>
      <c r="G1362" s="1100">
        <v>0.97833838800875317</v>
      </c>
      <c r="H1362" s="1100">
        <v>0.97551102204241369</v>
      </c>
      <c r="I1362" s="1100">
        <v>0.96265881168868694</v>
      </c>
      <c r="K1362">
        <v>1.1383460097191627</v>
      </c>
      <c r="L1362">
        <v>0</v>
      </c>
      <c r="M1362">
        <v>8.5181221074823903E-4</v>
      </c>
      <c r="N1362">
        <v>6.9042829614023873E-2</v>
      </c>
      <c r="O1362">
        <v>1.0334696130290488E-2</v>
      </c>
      <c r="P1362">
        <v>1.3076028298877856E-2</v>
      </c>
      <c r="Q1362">
        <v>4.3003476583497327E-4</v>
      </c>
      <c r="R1362">
        <v>8.4987829629763203E-4</v>
      </c>
      <c r="S1362">
        <v>6.9256128035320497E-2</v>
      </c>
      <c r="T1362">
        <v>0.82996248445756093</v>
      </c>
      <c r="U1362">
        <v>0</v>
      </c>
      <c r="V1362">
        <v>9.1008603597884083E-2</v>
      </c>
      <c r="W1362">
        <v>4.6520213602072438E-2</v>
      </c>
      <c r="X1362">
        <v>6.4038365715309046E-3</v>
      </c>
      <c r="Y1362">
        <v>2.313088560217075E-3</v>
      </c>
    </row>
    <row r="1363" spans="1:25" x14ac:dyDescent="0.25">
      <c r="A1363" s="1096"/>
      <c r="B1363" s="1455">
        <v>1113</v>
      </c>
      <c r="C1363" s="1100">
        <v>1.0006134046166419</v>
      </c>
      <c r="D1363" s="1100">
        <v>0.9715451060229604</v>
      </c>
      <c r="E1363" s="1100">
        <v>1.0156249551816858</v>
      </c>
      <c r="F1363" s="1100">
        <v>0.96385961723273894</v>
      </c>
      <c r="G1363" s="1100">
        <v>0.98647566753799543</v>
      </c>
      <c r="H1363" s="1100">
        <v>0.97059701567368684</v>
      </c>
      <c r="I1363" s="1100">
        <v>0.97724728279036899</v>
      </c>
      <c r="K1363">
        <v>1.113932730847552</v>
      </c>
      <c r="L1363">
        <v>0</v>
      </c>
      <c r="M1363">
        <v>7.6068060047140829E-4</v>
      </c>
      <c r="N1363">
        <v>7.3375859983195346E-2</v>
      </c>
      <c r="O1363">
        <v>1.0468215512504427E-2</v>
      </c>
      <c r="P1363">
        <v>1.323091196607102E-2</v>
      </c>
      <c r="Q1363">
        <v>4.6172773902596048E-4</v>
      </c>
      <c r="R1363">
        <v>7.5894484330544447E-4</v>
      </c>
      <c r="S1363">
        <v>7.1063283367581928E-2</v>
      </c>
      <c r="T1363">
        <v>0.79672891365723975</v>
      </c>
      <c r="U1363">
        <v>0</v>
      </c>
      <c r="V1363">
        <v>9.1504829454621753E-2</v>
      </c>
      <c r="W1363">
        <v>4.7760103213067881E-2</v>
      </c>
      <c r="X1363">
        <v>7.2750240340326896E-3</v>
      </c>
      <c r="Y1363">
        <v>2.0655976773770635E-3</v>
      </c>
    </row>
    <row r="1364" spans="1:25" x14ac:dyDescent="0.25">
      <c r="A1364" s="1096"/>
      <c r="B1364" s="1455">
        <v>1114</v>
      </c>
      <c r="C1364" s="1100">
        <v>1.0182859899086876</v>
      </c>
      <c r="D1364" s="1100">
        <v>0.95759197828771303</v>
      </c>
      <c r="E1364" s="1100">
        <v>1.0304661000805706</v>
      </c>
      <c r="F1364" s="1100">
        <v>0.99381797444382725</v>
      </c>
      <c r="G1364" s="1100">
        <v>1.0121673064827748</v>
      </c>
      <c r="H1364" s="1100">
        <v>1.0097952894575948</v>
      </c>
      <c r="I1364" s="1100">
        <v>1.0174279198315566</v>
      </c>
      <c r="K1364">
        <v>1.1477893010653402</v>
      </c>
      <c r="L1364">
        <v>0</v>
      </c>
      <c r="M1364">
        <v>7.583843824691608E-4</v>
      </c>
      <c r="N1364">
        <v>7.6510126448286517E-2</v>
      </c>
      <c r="O1364">
        <v>1.0351102160607245E-2</v>
      </c>
      <c r="P1364">
        <v>1.3769821473194287E-2</v>
      </c>
      <c r="Q1364">
        <v>4.6333689892008481E-4</v>
      </c>
      <c r="R1364">
        <v>7.5672104022170208E-4</v>
      </c>
      <c r="S1364">
        <v>7.4885647252282292E-2</v>
      </c>
      <c r="T1364">
        <v>0.82052710633225945</v>
      </c>
      <c r="U1364">
        <v>0</v>
      </c>
      <c r="V1364">
        <v>9.2175281645873616E-2</v>
      </c>
      <c r="W1364">
        <v>4.937067267137988E-2</v>
      </c>
      <c r="X1364">
        <v>7.6783243063246942E-3</v>
      </c>
      <c r="Y1364">
        <v>2.0595452184596062E-3</v>
      </c>
    </row>
    <row r="1365" spans="1:25" x14ac:dyDescent="0.25">
      <c r="A1365" s="1096"/>
      <c r="B1365" s="1455">
        <v>1115</v>
      </c>
      <c r="C1365" s="1100">
        <v>1.0202589477083701</v>
      </c>
      <c r="D1365" s="1100">
        <v>1.0285868348495142</v>
      </c>
      <c r="E1365" s="1100">
        <v>0.98049065715091699</v>
      </c>
      <c r="F1365" s="1100">
        <v>1.0134430360951763</v>
      </c>
      <c r="G1365" s="1100">
        <v>0.98747045379294129</v>
      </c>
      <c r="H1365" s="1100">
        <v>0.96904965110480557</v>
      </c>
      <c r="I1365" s="1100">
        <v>0.99884725384928064</v>
      </c>
      <c r="K1365">
        <v>1.1460595957671662</v>
      </c>
      <c r="L1365">
        <v>0</v>
      </c>
      <c r="M1365">
        <v>7.8306051978839671E-4</v>
      </c>
      <c r="N1365">
        <v>6.7926367425498915E-2</v>
      </c>
      <c r="O1365">
        <v>1.0023858528472176E-2</v>
      </c>
      <c r="P1365">
        <v>1.3437156090248771E-2</v>
      </c>
      <c r="Q1365">
        <v>4.2676983988885364E-4</v>
      </c>
      <c r="R1365">
        <v>7.812708418822547E-4</v>
      </c>
      <c r="S1365">
        <v>6.9071739589036243E-2</v>
      </c>
      <c r="T1365">
        <v>0.84007426178842715</v>
      </c>
      <c r="U1365">
        <v>0</v>
      </c>
      <c r="V1365">
        <v>9.1065117983240546E-2</v>
      </c>
      <c r="W1365">
        <v>4.5147491184777448E-2</v>
      </c>
      <c r="X1365">
        <v>6.7622613297411106E-3</v>
      </c>
      <c r="Y1365">
        <v>2.1263616857396875E-3</v>
      </c>
    </row>
    <row r="1366" spans="1:25" x14ac:dyDescent="0.25">
      <c r="A1366" s="1096"/>
      <c r="B1366" s="1455">
        <v>1116</v>
      </c>
      <c r="C1366" s="1100">
        <v>1.0268313265549542</v>
      </c>
      <c r="D1366" s="1100">
        <v>1.0134379529839495</v>
      </c>
      <c r="E1366" s="1100">
        <v>0.98640230643592508</v>
      </c>
      <c r="F1366" s="1100">
        <v>0.99838553366610472</v>
      </c>
      <c r="G1366" s="1100">
        <v>1.0127828107543877</v>
      </c>
      <c r="H1366" s="1100">
        <v>1.0046984678522333</v>
      </c>
      <c r="I1366" s="1100">
        <v>0.9767420336751852</v>
      </c>
      <c r="K1366">
        <v>1.1386541596028283</v>
      </c>
      <c r="L1366">
        <v>0</v>
      </c>
      <c r="M1366">
        <v>8.0160814445390857E-4</v>
      </c>
      <c r="N1366">
        <v>7.0795651300598075E-2</v>
      </c>
      <c r="O1366">
        <v>1.0020854869173383E-2</v>
      </c>
      <c r="P1366">
        <v>1.3335399904996482E-2</v>
      </c>
      <c r="Q1366">
        <v>4.2920825358569578E-4</v>
      </c>
      <c r="R1366">
        <v>7.9984108175686216E-4</v>
      </c>
      <c r="S1366">
        <v>6.900371098758834E-2</v>
      </c>
      <c r="T1366">
        <v>0.82719872257680549</v>
      </c>
      <c r="U1366">
        <v>0</v>
      </c>
      <c r="V1366">
        <v>9.1992891579948208E-2</v>
      </c>
      <c r="W1366">
        <v>4.6887360534269666E-2</v>
      </c>
      <c r="X1366">
        <v>6.8152229015581182E-3</v>
      </c>
      <c r="Y1366">
        <v>2.1769037570004402E-3</v>
      </c>
    </row>
    <row r="1367" spans="1:25" x14ac:dyDescent="0.25">
      <c r="A1367" s="1096"/>
      <c r="B1367" s="1455">
        <v>1117</v>
      </c>
      <c r="C1367" s="1100">
        <v>1.0071407539260371</v>
      </c>
      <c r="D1367" s="1100">
        <v>1.0223432736732765</v>
      </c>
      <c r="E1367" s="1100">
        <v>0.98037913761834561</v>
      </c>
      <c r="F1367" s="1100">
        <v>1.0168067685240618</v>
      </c>
      <c r="G1367" s="1100">
        <v>0.96934471996806026</v>
      </c>
      <c r="H1367" s="1100">
        <v>0.98397304418455711</v>
      </c>
      <c r="I1367" s="1100">
        <v>0.98330003167513347</v>
      </c>
      <c r="K1367">
        <v>1.1528409601406322</v>
      </c>
      <c r="L1367">
        <v>0</v>
      </c>
      <c r="M1367">
        <v>8.0762654286909634E-4</v>
      </c>
      <c r="N1367">
        <v>7.0036139387245303E-2</v>
      </c>
      <c r="O1367">
        <v>1.0179145682261203E-2</v>
      </c>
      <c r="P1367">
        <v>1.347565688206886E-2</v>
      </c>
      <c r="Q1367">
        <v>4.3333214507908875E-4</v>
      </c>
      <c r="R1367">
        <v>8.0580871414969292E-4</v>
      </c>
      <c r="S1367">
        <v>6.9685712156327836E-2</v>
      </c>
      <c r="T1367">
        <v>0.84287014259948378</v>
      </c>
      <c r="U1367">
        <v>0</v>
      </c>
      <c r="V1367">
        <v>9.0606228847506132E-2</v>
      </c>
      <c r="W1367">
        <v>4.6552891893680316E-2</v>
      </c>
      <c r="X1367">
        <v>6.8103826905550769E-3</v>
      </c>
      <c r="Y1367">
        <v>2.1931456851442357E-3</v>
      </c>
    </row>
    <row r="1368" spans="1:25" x14ac:dyDescent="0.25">
      <c r="A1368" s="1096"/>
      <c r="B1368" s="1455">
        <v>1118</v>
      </c>
      <c r="C1368" s="1100">
        <v>0.99711826994601571</v>
      </c>
      <c r="D1368" s="1100">
        <v>0.97888976517668724</v>
      </c>
      <c r="E1368" s="1100">
        <v>0.98370366032708156</v>
      </c>
      <c r="F1368" s="1100">
        <v>0.97990359667483573</v>
      </c>
      <c r="G1368" s="1100">
        <v>0.99523221042141263</v>
      </c>
      <c r="H1368" s="1100">
        <v>0.99992395275874446</v>
      </c>
      <c r="I1368" s="1100">
        <v>0.95959598202341367</v>
      </c>
      <c r="K1368">
        <v>1.1300722484054722</v>
      </c>
      <c r="L1368">
        <v>0</v>
      </c>
      <c r="M1368">
        <v>8.3771549341288352E-4</v>
      </c>
      <c r="N1368">
        <v>7.3382355690774267E-2</v>
      </c>
      <c r="O1368">
        <v>1.0462743166097995E-2</v>
      </c>
      <c r="P1368">
        <v>1.3129171547232494E-2</v>
      </c>
      <c r="Q1368">
        <v>4.4691092735153493E-4</v>
      </c>
      <c r="R1368">
        <v>8.3586001821394284E-4</v>
      </c>
      <c r="S1368">
        <v>7.087463343475596E-2</v>
      </c>
      <c r="T1368">
        <v>0.81206211790873417</v>
      </c>
      <c r="U1368">
        <v>0</v>
      </c>
      <c r="V1368">
        <v>9.1961057528995499E-2</v>
      </c>
      <c r="W1368">
        <v>4.8679455425043143E-2</v>
      </c>
      <c r="X1368">
        <v>6.8007228232882999E-3</v>
      </c>
      <c r="Y1368">
        <v>2.274935428397401E-3</v>
      </c>
    </row>
    <row r="1369" spans="1:25" x14ac:dyDescent="0.25">
      <c r="A1369" s="1096"/>
      <c r="B1369" s="1455">
        <v>1119</v>
      </c>
      <c r="C1369" s="1100">
        <v>0.99301948615289881</v>
      </c>
      <c r="D1369" s="1100">
        <v>0.99558293805020315</v>
      </c>
      <c r="E1369" s="1100">
        <v>1.0339286381611963</v>
      </c>
      <c r="F1369" s="1100">
        <v>1.0241281235809396</v>
      </c>
      <c r="G1369" s="1100">
        <v>0.98523020830392294</v>
      </c>
      <c r="H1369" s="1100">
        <v>1.0333922716122339</v>
      </c>
      <c r="I1369" s="1100">
        <v>1.0014648090194291</v>
      </c>
      <c r="K1369">
        <v>1.1775052839004008</v>
      </c>
      <c r="L1369">
        <v>0</v>
      </c>
      <c r="M1369">
        <v>7.779289615379171E-4</v>
      </c>
      <c r="N1369">
        <v>7.9309232013354616E-2</v>
      </c>
      <c r="O1369">
        <v>1.0451714858868977E-2</v>
      </c>
      <c r="P1369">
        <v>1.414608002672282E-2</v>
      </c>
      <c r="Q1369">
        <v>4.6944294304209849E-4</v>
      </c>
      <c r="R1369">
        <v>7.7626171314006402E-4</v>
      </c>
      <c r="S1369">
        <v>7.506608460048772E-2</v>
      </c>
      <c r="T1369">
        <v>0.84532104348924331</v>
      </c>
      <c r="U1369">
        <v>0</v>
      </c>
      <c r="V1369">
        <v>9.1644362128180376E-2</v>
      </c>
      <c r="W1369">
        <v>5.1074306160492036E-2</v>
      </c>
      <c r="X1369">
        <v>7.9119564398435916E-3</v>
      </c>
      <c r="Y1369">
        <v>2.1127284885622917E-3</v>
      </c>
    </row>
    <row r="1370" spans="1:25" x14ac:dyDescent="0.25">
      <c r="A1370" s="1096"/>
      <c r="B1370" s="1455">
        <v>1120</v>
      </c>
      <c r="C1370" s="1100">
        <v>0.98133602178924617</v>
      </c>
      <c r="D1370" s="1100">
        <v>1.0255517214999981</v>
      </c>
      <c r="E1370" s="1100">
        <v>0.99055969445735592</v>
      </c>
      <c r="F1370" s="1100">
        <v>0.98776116885305454</v>
      </c>
      <c r="G1370" s="1100">
        <v>0.97167551438781652</v>
      </c>
      <c r="H1370" s="1100">
        <v>0.99775940907595506</v>
      </c>
      <c r="I1370" s="1100">
        <v>1.0335658732932496</v>
      </c>
      <c r="K1370">
        <v>1.1406109878681381</v>
      </c>
      <c r="L1370">
        <v>0</v>
      </c>
      <c r="M1370">
        <v>8.2192263735467782E-4</v>
      </c>
      <c r="N1370">
        <v>7.3506923378010999E-2</v>
      </c>
      <c r="O1370">
        <v>1.0437079625981054E-2</v>
      </c>
      <c r="P1370">
        <v>1.3335883002338601E-2</v>
      </c>
      <c r="Q1370">
        <v>4.4891983775397089E-4</v>
      </c>
      <c r="R1370">
        <v>8.200981927232485E-4</v>
      </c>
      <c r="S1370">
        <v>7.5650202664521091E-2</v>
      </c>
      <c r="T1370">
        <v>0.8181226482202677</v>
      </c>
      <c r="U1370">
        <v>0</v>
      </c>
      <c r="V1370">
        <v>9.1354430364868441E-2</v>
      </c>
      <c r="W1370">
        <v>4.8561772005157572E-2</v>
      </c>
      <c r="X1370">
        <v>6.9629162785717061E-3</v>
      </c>
      <c r="Y1370">
        <v>2.2320369352961085E-3</v>
      </c>
    </row>
    <row r="1371" spans="1:25" x14ac:dyDescent="0.25">
      <c r="A1371" s="1096"/>
      <c r="B1371" s="1455">
        <v>1121</v>
      </c>
      <c r="C1371" s="1100">
        <v>0.98313805181447111</v>
      </c>
      <c r="D1371" s="1100">
        <v>0.99171855268085773</v>
      </c>
      <c r="E1371" s="1100">
        <v>1.0368818493441587</v>
      </c>
      <c r="F1371" s="1100">
        <v>0.97423231906316043</v>
      </c>
      <c r="G1371" s="1100">
        <v>1.0150212301728458</v>
      </c>
      <c r="H1371" s="1100">
        <v>0.99041274343993213</v>
      </c>
      <c r="I1371" s="1100">
        <v>1.0159747740585019</v>
      </c>
      <c r="K1371">
        <v>1.1335166467615159</v>
      </c>
      <c r="L1371">
        <v>0</v>
      </c>
      <c r="M1371">
        <v>7.496095309101336E-4</v>
      </c>
      <c r="N1371">
        <v>7.7098028642305985E-2</v>
      </c>
      <c r="O1371">
        <v>1.0574191030042155E-2</v>
      </c>
      <c r="P1371">
        <v>1.3621037162179585E-2</v>
      </c>
      <c r="Q1371">
        <v>4.7632867156329194E-4</v>
      </c>
      <c r="R1371">
        <v>7.4793325903669021E-4</v>
      </c>
      <c r="S1371">
        <v>7.5261880322326336E-2</v>
      </c>
      <c r="T1371">
        <v>0.80394959224975449</v>
      </c>
      <c r="U1371">
        <v>0</v>
      </c>
      <c r="V1371">
        <v>9.31688787362938E-2</v>
      </c>
      <c r="W1371">
        <v>4.9565632980308652E-2</v>
      </c>
      <c r="X1371">
        <v>7.7671254636483746E-3</v>
      </c>
      <c r="Y1371">
        <v>2.0356277749652928E-3</v>
      </c>
    </row>
    <row r="1372" spans="1:25" x14ac:dyDescent="0.25">
      <c r="A1372" s="1096"/>
      <c r="B1372" s="1455">
        <v>1122</v>
      </c>
      <c r="C1372" s="1100">
        <v>0.99076888064288893</v>
      </c>
      <c r="D1372" s="1100">
        <v>0.96184553362089786</v>
      </c>
      <c r="E1372" s="1100">
        <v>1.018691101637488</v>
      </c>
      <c r="F1372" s="1100">
        <v>0.96200236566369735</v>
      </c>
      <c r="G1372" s="1100">
        <v>0.958974011502854</v>
      </c>
      <c r="H1372" s="1100">
        <v>0.99980583817250102</v>
      </c>
      <c r="I1372" s="1100">
        <v>1.0027360143396027</v>
      </c>
      <c r="K1372">
        <v>1.121543548021134</v>
      </c>
      <c r="L1372">
        <v>0</v>
      </c>
      <c r="M1372">
        <v>7.8948999047704792E-4</v>
      </c>
      <c r="N1372">
        <v>7.6867813350880013E-2</v>
      </c>
      <c r="O1372">
        <v>1.061577901219018E-2</v>
      </c>
      <c r="P1372">
        <v>1.3281962160367705E-2</v>
      </c>
      <c r="Q1372">
        <v>4.6966810304872923E-4</v>
      </c>
      <c r="R1372">
        <v>7.8774112446483775E-4</v>
      </c>
      <c r="S1372">
        <v>7.524922803060842E-2</v>
      </c>
      <c r="T1372">
        <v>0.79500006431755266</v>
      </c>
      <c r="U1372">
        <v>0</v>
      </c>
      <c r="V1372">
        <v>9.0576070760391245E-2</v>
      </c>
      <c r="W1372">
        <v>4.9943131866142222E-2</v>
      </c>
      <c r="X1372">
        <v>7.397607623963404E-3</v>
      </c>
      <c r="Y1372">
        <v>2.1439716620013987E-3</v>
      </c>
    </row>
    <row r="1373" spans="1:25" x14ac:dyDescent="0.25">
      <c r="A1373" s="1096"/>
      <c r="B1373" s="1455">
        <v>1123</v>
      </c>
      <c r="C1373" s="1100">
        <v>0.97073676435879863</v>
      </c>
      <c r="D1373" s="1100">
        <v>0.98887908748013997</v>
      </c>
      <c r="E1373" s="1100">
        <v>0.99329726556036901</v>
      </c>
      <c r="F1373" s="1100">
        <v>1.0220670817317197</v>
      </c>
      <c r="G1373" s="1100">
        <v>1.0135199294642896</v>
      </c>
      <c r="H1373" s="1100">
        <v>1.0047194469602303</v>
      </c>
      <c r="I1373" s="1100">
        <v>1.0122473853156813</v>
      </c>
      <c r="K1373">
        <v>1.1771856711518303</v>
      </c>
      <c r="L1373">
        <v>0</v>
      </c>
      <c r="M1373">
        <v>8.4416796825104602E-4</v>
      </c>
      <c r="N1373">
        <v>7.6124938669572373E-2</v>
      </c>
      <c r="O1373">
        <v>1.0706772413116133E-2</v>
      </c>
      <c r="P1373">
        <v>1.3787317144505222E-2</v>
      </c>
      <c r="Q1373">
        <v>4.6179454463398821E-4</v>
      </c>
      <c r="R1373">
        <v>8.4230712565660701E-4</v>
      </c>
      <c r="S1373">
        <v>7.6611813265152165E-2</v>
      </c>
      <c r="T1373">
        <v>0.84635087818137578</v>
      </c>
      <c r="U1373">
        <v>0</v>
      </c>
      <c r="V1373">
        <v>9.3419775015806755E-2</v>
      </c>
      <c r="W1373">
        <v>5.0209059953607804E-2</v>
      </c>
      <c r="X1373">
        <v>7.2227004770877698E-3</v>
      </c>
      <c r="Y1373">
        <v>2.2924823295679356E-3</v>
      </c>
    </row>
    <row r="1374" spans="1:25" x14ac:dyDescent="0.25">
      <c r="A1374" s="1096"/>
      <c r="B1374" s="1455">
        <v>1124</v>
      </c>
      <c r="C1374" s="1100">
        <v>1.0177761819682125</v>
      </c>
      <c r="D1374" s="1100">
        <v>1.0156808013038665</v>
      </c>
      <c r="E1374" s="1100">
        <v>1.0022677742356871</v>
      </c>
      <c r="F1374" s="1100">
        <v>1.0008693255065881</v>
      </c>
      <c r="G1374" s="1100">
        <v>0.99624871359155165</v>
      </c>
      <c r="H1374" s="1100">
        <v>1.0124512687362395</v>
      </c>
      <c r="I1374" s="1100">
        <v>1.0141661001437456</v>
      </c>
      <c r="K1374">
        <v>1.1465081292798596</v>
      </c>
      <c r="L1374">
        <v>0</v>
      </c>
      <c r="M1374">
        <v>7.87922283629259E-4</v>
      </c>
      <c r="N1374">
        <v>7.3006393320939153E-2</v>
      </c>
      <c r="O1374">
        <v>1.0106140202001315E-2</v>
      </c>
      <c r="P1374">
        <v>1.3550436814359579E-2</v>
      </c>
      <c r="Q1374">
        <v>4.3984168073930673E-4</v>
      </c>
      <c r="R1374">
        <v>7.8619869019084024E-4</v>
      </c>
      <c r="S1374">
        <v>7.2533989926475695E-2</v>
      </c>
      <c r="T1374">
        <v>0.82820243929303838</v>
      </c>
      <c r="U1374">
        <v>0</v>
      </c>
      <c r="V1374">
        <v>9.15027692416083E-2</v>
      </c>
      <c r="W1374">
        <v>4.789569602841294E-2</v>
      </c>
      <c r="X1374">
        <v>7.1323727013507601E-3</v>
      </c>
      <c r="Y1374">
        <v>2.1397736643708992E-3</v>
      </c>
    </row>
    <row r="1375" spans="1:25" x14ac:dyDescent="0.25">
      <c r="A1375" s="1096"/>
      <c r="B1375" s="1455">
        <v>1125</v>
      </c>
      <c r="C1375" s="1100">
        <v>1.0105176095300066</v>
      </c>
      <c r="D1375" s="1100">
        <v>0.98472737450897341</v>
      </c>
      <c r="E1375" s="1100">
        <v>0.98966757854420395</v>
      </c>
      <c r="F1375" s="1100">
        <v>1.037457596686961</v>
      </c>
      <c r="G1375" s="1100">
        <v>0.9942384005963455</v>
      </c>
      <c r="H1375" s="1100">
        <v>0.96879447208515934</v>
      </c>
      <c r="I1375" s="1100">
        <v>0.99930352510174025</v>
      </c>
      <c r="K1375">
        <v>1.1729900108193296</v>
      </c>
      <c r="L1375">
        <v>0</v>
      </c>
      <c r="M1375">
        <v>7.8916836936774172E-4</v>
      </c>
      <c r="N1375">
        <v>7.0382824827035437E-2</v>
      </c>
      <c r="O1375">
        <v>1.0301423378521421E-2</v>
      </c>
      <c r="P1375">
        <v>1.3829488781100342E-2</v>
      </c>
      <c r="Q1375">
        <v>4.4268565570135374E-4</v>
      </c>
      <c r="R1375">
        <v>7.8736425694991103E-4</v>
      </c>
      <c r="S1375">
        <v>7.135358894409774E-2</v>
      </c>
      <c r="T1375">
        <v>0.85934576144623043</v>
      </c>
      <c r="U1375">
        <v>0</v>
      </c>
      <c r="V1375">
        <v>9.1589902121774036E-2</v>
      </c>
      <c r="W1375">
        <v>4.6522715155202406E-2</v>
      </c>
      <c r="X1375">
        <v>7.0804786692243004E-3</v>
      </c>
      <c r="Y1375">
        <v>2.142945952860111E-3</v>
      </c>
    </row>
    <row r="1376" spans="1:25" x14ac:dyDescent="0.25">
      <c r="A1376" s="1096"/>
      <c r="B1376" s="1455">
        <v>1126</v>
      </c>
      <c r="C1376" s="1100">
        <v>0.97559486605939083</v>
      </c>
      <c r="D1376" s="1100">
        <v>1.0130750865705012</v>
      </c>
      <c r="E1376" s="1100">
        <v>1.0127548454690398</v>
      </c>
      <c r="F1376" s="1100">
        <v>1.023175809000761</v>
      </c>
      <c r="G1376" s="1100">
        <v>1.0243470881284735</v>
      </c>
      <c r="H1376" s="1100">
        <v>1.0120131530064702</v>
      </c>
      <c r="I1376" s="1100">
        <v>1.0362115705837989</v>
      </c>
      <c r="K1376">
        <v>1.1790246967049187</v>
      </c>
      <c r="L1376">
        <v>0</v>
      </c>
      <c r="M1376">
        <v>8.0475947465927266E-4</v>
      </c>
      <c r="N1376">
        <v>7.6965424119701253E-2</v>
      </c>
      <c r="O1376">
        <v>1.0557437278768652E-2</v>
      </c>
      <c r="P1376">
        <v>1.3998782358939787E-2</v>
      </c>
      <c r="Q1376">
        <v>4.6433206465053745E-4</v>
      </c>
      <c r="R1376">
        <v>8.0299828746369063E-4</v>
      </c>
      <c r="S1376">
        <v>7.7411044459677877E-2</v>
      </c>
      <c r="T1376">
        <v>0.84595290343269236</v>
      </c>
      <c r="U1376">
        <v>0</v>
      </c>
      <c r="V1376">
        <v>9.3758443990310997E-2</v>
      </c>
      <c r="W1376">
        <v>5.0181115739409872E-2</v>
      </c>
      <c r="X1376">
        <v>7.5514778178000412E-3</v>
      </c>
      <c r="Y1376">
        <v>2.1854966301618453E-3</v>
      </c>
    </row>
    <row r="1377" spans="1:25" x14ac:dyDescent="0.25">
      <c r="A1377" s="1096"/>
      <c r="B1377" s="1455">
        <v>1127</v>
      </c>
      <c r="C1377" s="1100">
        <v>1.0036145170423842</v>
      </c>
      <c r="D1377" s="1100">
        <v>1.0129960143922028</v>
      </c>
      <c r="E1377" s="1100">
        <v>0.99099048825000857</v>
      </c>
      <c r="F1377" s="1100">
        <v>0.9786531767945682</v>
      </c>
      <c r="G1377" s="1100">
        <v>1.0233922245972837</v>
      </c>
      <c r="H1377" s="1100">
        <v>0.98619073412710345</v>
      </c>
      <c r="I1377" s="1100">
        <v>0.97621988728781939</v>
      </c>
      <c r="K1377">
        <v>1.1249152281697363</v>
      </c>
      <c r="L1377">
        <v>0</v>
      </c>
      <c r="M1377">
        <v>7.9757079050167903E-4</v>
      </c>
      <c r="N1377">
        <v>7.1420162990222136E-2</v>
      </c>
      <c r="O1377">
        <v>1.0255944105875799E-2</v>
      </c>
      <c r="P1377">
        <v>1.3181503909451239E-2</v>
      </c>
      <c r="Q1377">
        <v>4.4132087441715184E-4</v>
      </c>
      <c r="R1377">
        <v>7.957796324876491E-4</v>
      </c>
      <c r="S1377">
        <v>6.9854711935205621E-2</v>
      </c>
      <c r="T1377">
        <v>0.81055082886589225</v>
      </c>
      <c r="U1377">
        <v>0</v>
      </c>
      <c r="V1377">
        <v>9.3005343952213645E-2</v>
      </c>
      <c r="W1377">
        <v>4.7171002525068291E-2</v>
      </c>
      <c r="X1377">
        <v>6.8703503384581407E-3</v>
      </c>
      <c r="Y1377">
        <v>2.165849830946033E-3</v>
      </c>
    </row>
    <row r="1378" spans="1:25" x14ac:dyDescent="0.25">
      <c r="A1378" s="1096"/>
      <c r="B1378" s="1455">
        <v>1128</v>
      </c>
      <c r="C1378" s="1100">
        <v>1.0116717784945493</v>
      </c>
      <c r="D1378" s="1100">
        <v>1.0262573998054567</v>
      </c>
      <c r="E1378" s="1100">
        <v>1.0022903206279765</v>
      </c>
      <c r="F1378" s="1100">
        <v>0.98057734210369196</v>
      </c>
      <c r="G1378" s="1100">
        <v>1.005488985029338</v>
      </c>
      <c r="H1378" s="1100">
        <v>1.0235038834209638</v>
      </c>
      <c r="I1378" s="1100">
        <v>1.0009549704100773</v>
      </c>
      <c r="K1378">
        <v>1.1311085313784921</v>
      </c>
      <c r="L1378">
        <v>0</v>
      </c>
      <c r="M1378">
        <v>7.979789874719656E-4</v>
      </c>
      <c r="N1378">
        <v>7.3945002149263209E-2</v>
      </c>
      <c r="O1378">
        <v>1.0125084433720673E-2</v>
      </c>
      <c r="P1378">
        <v>1.3322579977055342E-2</v>
      </c>
      <c r="Q1378">
        <v>4.4067615022162147E-4</v>
      </c>
      <c r="R1378">
        <v>7.9625224512983332E-4</v>
      </c>
      <c r="S1378">
        <v>7.2080444862343121E-2</v>
      </c>
      <c r="T1378">
        <v>0.81140970416815617</v>
      </c>
      <c r="U1378">
        <v>0</v>
      </c>
      <c r="V1378">
        <v>9.204474349061563E-2</v>
      </c>
      <c r="W1378">
        <v>4.8510819545963951E-2</v>
      </c>
      <c r="X1378">
        <v>7.0640672167327466E-3</v>
      </c>
      <c r="Y1378">
        <v>2.1671361267613437E-3</v>
      </c>
    </row>
    <row r="1379" spans="1:25" x14ac:dyDescent="0.25">
      <c r="A1379" s="1096"/>
      <c r="B1379" s="1455">
        <v>1129</v>
      </c>
      <c r="C1379" s="1100">
        <v>1.0311925971535809</v>
      </c>
      <c r="D1379" s="1100">
        <v>0.99400055897994688</v>
      </c>
      <c r="E1379" s="1100">
        <v>1.0180757353092345</v>
      </c>
      <c r="F1379" s="1100">
        <v>1.0044496418664122</v>
      </c>
      <c r="G1379" s="1100">
        <v>0.98457528263741645</v>
      </c>
      <c r="H1379" s="1100">
        <v>0.96692718758325846</v>
      </c>
      <c r="I1379" s="1100">
        <v>1.0022189652172671</v>
      </c>
      <c r="K1379">
        <v>1.1403146268521713</v>
      </c>
      <c r="L1379">
        <v>0</v>
      </c>
      <c r="M1379">
        <v>7.2493773344590204E-4</v>
      </c>
      <c r="N1379">
        <v>7.0446510606435281E-2</v>
      </c>
      <c r="O1379">
        <v>1.006615122997534E-2</v>
      </c>
      <c r="P1379">
        <v>1.3686579920464995E-2</v>
      </c>
      <c r="Q1379">
        <v>4.4507861337320288E-4</v>
      </c>
      <c r="R1379">
        <v>7.2327725779379329E-4</v>
      </c>
      <c r="S1379">
        <v>6.974683199662314E-2</v>
      </c>
      <c r="T1379">
        <v>0.83011910439718994</v>
      </c>
      <c r="U1379">
        <v>0</v>
      </c>
      <c r="V1379">
        <v>9.0689342274702586E-2</v>
      </c>
      <c r="W1379">
        <v>4.5787537429554125E-2</v>
      </c>
      <c r="X1379">
        <v>7.3606285920738718E-3</v>
      </c>
      <c r="Y1379">
        <v>1.9685222674307519E-3</v>
      </c>
    </row>
    <row r="1380" spans="1:25" x14ac:dyDescent="0.25">
      <c r="A1380" s="1096"/>
      <c r="B1380" s="1455">
        <v>1130</v>
      </c>
      <c r="C1380" s="1100">
        <v>1.0150643745674659</v>
      </c>
      <c r="D1380" s="1100">
        <v>1.0035261203310524</v>
      </c>
      <c r="E1380" s="1100">
        <v>0.96232789921284501</v>
      </c>
      <c r="F1380" s="1100">
        <v>0.95435635074349656</v>
      </c>
      <c r="G1380" s="1100">
        <v>0.99983358921729792</v>
      </c>
      <c r="H1380" s="1100">
        <v>1.021617513226911</v>
      </c>
      <c r="I1380" s="1100">
        <v>0.99954452034932484</v>
      </c>
      <c r="K1380">
        <v>1.1077839165588719</v>
      </c>
      <c r="L1380">
        <v>0</v>
      </c>
      <c r="M1380">
        <v>8.7001649312981361E-4</v>
      </c>
      <c r="N1380">
        <v>7.143980771310679E-2</v>
      </c>
      <c r="O1380">
        <v>1.0169231686419944E-2</v>
      </c>
      <c r="P1380">
        <v>1.2671358056142293E-2</v>
      </c>
      <c r="Q1380">
        <v>4.2500211535711064E-4</v>
      </c>
      <c r="R1380">
        <v>8.6813039304612359E-4</v>
      </c>
      <c r="S1380">
        <v>7.2442845439139356E-2</v>
      </c>
      <c r="T1380">
        <v>0.79225909061840283</v>
      </c>
      <c r="U1380">
        <v>0</v>
      </c>
      <c r="V1380">
        <v>9.1715916655108198E-2</v>
      </c>
      <c r="W1380">
        <v>4.8009930941103118E-2</v>
      </c>
      <c r="X1380">
        <v>6.2898546834121612E-3</v>
      </c>
      <c r="Y1380">
        <v>2.3627647507643936E-3</v>
      </c>
    </row>
    <row r="1381" spans="1:25" x14ac:dyDescent="0.25">
      <c r="A1381" s="1096"/>
      <c r="B1381" s="1455">
        <v>1131</v>
      </c>
      <c r="C1381" s="1100">
        <v>0.98822970262535881</v>
      </c>
      <c r="D1381" s="1100">
        <v>1.0157222509669932</v>
      </c>
      <c r="E1381" s="1100">
        <v>1.0089428372312883</v>
      </c>
      <c r="F1381" s="1100">
        <v>0.99440984428422297</v>
      </c>
      <c r="G1381" s="1100">
        <v>1.0144043219586945</v>
      </c>
      <c r="H1381" s="1100">
        <v>1.0028294397769717</v>
      </c>
      <c r="I1381" s="1100">
        <v>1.0001292339797352</v>
      </c>
      <c r="K1381">
        <v>1.1465132177215309</v>
      </c>
      <c r="L1381">
        <v>0</v>
      </c>
      <c r="M1381">
        <v>7.9269316548495432E-4</v>
      </c>
      <c r="N1381">
        <v>7.494250684582833E-2</v>
      </c>
      <c r="O1381">
        <v>1.0410326580567859E-2</v>
      </c>
      <c r="P1381">
        <v>1.3569400071374447E-2</v>
      </c>
      <c r="Q1381">
        <v>4.5612130429634082E-4</v>
      </c>
      <c r="R1381">
        <v>7.9094249819740498E-4</v>
      </c>
      <c r="S1381">
        <v>7.3281336025145943E-2</v>
      </c>
      <c r="T1381">
        <v>0.82241908264232921</v>
      </c>
      <c r="U1381">
        <v>0</v>
      </c>
      <c r="V1381">
        <v>9.300800415644013E-2</v>
      </c>
      <c r="W1381">
        <v>4.8972067500587989E-2</v>
      </c>
      <c r="X1381">
        <v>7.3034385162780375E-3</v>
      </c>
      <c r="Y1381">
        <v>2.1526847459688797E-3</v>
      </c>
    </row>
    <row r="1382" spans="1:25" x14ac:dyDescent="0.25">
      <c r="A1382" s="1096"/>
      <c r="B1382" s="1455">
        <v>1132</v>
      </c>
      <c r="C1382" s="1100">
        <v>1.0045743665472466</v>
      </c>
      <c r="D1382" s="1100">
        <v>1.0202815542516788</v>
      </c>
      <c r="E1382" s="1100">
        <v>1.0124620971989078</v>
      </c>
      <c r="F1382" s="1100">
        <v>1.0326823783296919</v>
      </c>
      <c r="G1382" s="1100">
        <v>1.0137758038120186</v>
      </c>
      <c r="H1382" s="1100">
        <v>1.0065980459743786</v>
      </c>
      <c r="I1382" s="1100">
        <v>0.9970857636476923</v>
      </c>
      <c r="K1382">
        <v>1.1749616758212005</v>
      </c>
      <c r="L1382">
        <v>0</v>
      </c>
      <c r="M1382">
        <v>7.756330668317982E-4</v>
      </c>
      <c r="N1382">
        <v>7.4113445024452634E-2</v>
      </c>
      <c r="O1382">
        <v>1.0223757436591145E-2</v>
      </c>
      <c r="P1382">
        <v>1.4011388334746504E-2</v>
      </c>
      <c r="Q1382">
        <v>4.495249402314614E-4</v>
      </c>
      <c r="R1382">
        <v>7.7392649013704735E-4</v>
      </c>
      <c r="S1382">
        <v>7.1859892022888866E-2</v>
      </c>
      <c r="T1382">
        <v>0.85383274393014574</v>
      </c>
      <c r="U1382">
        <v>0</v>
      </c>
      <c r="V1382">
        <v>9.2573569608256245E-2</v>
      </c>
      <c r="W1382">
        <v>4.8329963196008068E-2</v>
      </c>
      <c r="X1382">
        <v>7.462725123219654E-3</v>
      </c>
      <c r="Y1382">
        <v>2.1063727813541355E-3</v>
      </c>
    </row>
    <row r="1383" spans="1:25" x14ac:dyDescent="0.25">
      <c r="A1383" s="1096"/>
      <c r="B1383" s="1455">
        <v>1133</v>
      </c>
      <c r="C1383" s="1100">
        <v>1.0103181589832013</v>
      </c>
      <c r="D1383" s="1100">
        <v>1.0044578364927204</v>
      </c>
      <c r="E1383" s="1100">
        <v>1.0160774925678269</v>
      </c>
      <c r="F1383" s="1100">
        <v>1.0103975583437634</v>
      </c>
      <c r="G1383" s="1100">
        <v>1.0129176440069609</v>
      </c>
      <c r="H1383" s="1100">
        <v>1.021482010554464</v>
      </c>
      <c r="I1383" s="1100">
        <v>1.0128730376763537</v>
      </c>
      <c r="K1383">
        <v>1.1600636110709377</v>
      </c>
      <c r="L1383">
        <v>0</v>
      </c>
      <c r="M1383">
        <v>7.8163879518603516E-4</v>
      </c>
      <c r="N1383">
        <v>7.5509140902901284E-2</v>
      </c>
      <c r="O1383">
        <v>1.0230563210680044E-2</v>
      </c>
      <c r="P1383">
        <v>1.3815350951829711E-2</v>
      </c>
      <c r="Q1383">
        <v>4.5144898905083355E-4</v>
      </c>
      <c r="R1383">
        <v>7.7994406345136252E-4</v>
      </c>
      <c r="S1383">
        <v>7.3776973884916386E-2</v>
      </c>
      <c r="T1383">
        <v>0.83516726230583249</v>
      </c>
      <c r="U1383">
        <v>0</v>
      </c>
      <c r="V1383">
        <v>9.239714297735406E-2</v>
      </c>
      <c r="W1383">
        <v>4.9135595349498559E-2</v>
      </c>
      <c r="X1383">
        <v>7.4590765983849183E-3</v>
      </c>
      <c r="Y1383">
        <v>2.1227506322231914E-3</v>
      </c>
    </row>
    <row r="1384" spans="1:25" x14ac:dyDescent="0.25">
      <c r="A1384" s="1096"/>
      <c r="B1384" s="1455">
        <v>1134</v>
      </c>
      <c r="C1384" s="1100">
        <v>1.0342995219403559</v>
      </c>
      <c r="D1384" s="1100">
        <v>0.97985607736588198</v>
      </c>
      <c r="E1384" s="1100">
        <v>0.97798877593888223</v>
      </c>
      <c r="F1384" s="1100">
        <v>0.96637023702468905</v>
      </c>
      <c r="G1384" s="1100">
        <v>0.98289717487834816</v>
      </c>
      <c r="H1384" s="1100">
        <v>1.0143260165132884</v>
      </c>
      <c r="I1384" s="1100">
        <v>0.99872411954595264</v>
      </c>
      <c r="K1384">
        <v>1.1144803706883102</v>
      </c>
      <c r="L1384">
        <v>0</v>
      </c>
      <c r="M1384">
        <v>8.2864574770507161E-4</v>
      </c>
      <c r="N1384">
        <v>7.1345838741053144E-2</v>
      </c>
      <c r="O1384">
        <v>1.0080828230576157E-2</v>
      </c>
      <c r="P1384">
        <v>1.2918073435212561E-2</v>
      </c>
      <c r="Q1384">
        <v>4.2810486994229079E-4</v>
      </c>
      <c r="R1384">
        <v>8.2683642130915874E-4</v>
      </c>
      <c r="S1384">
        <v>7.1640499679799852E-2</v>
      </c>
      <c r="T1384">
        <v>0.80121585403012419</v>
      </c>
      <c r="U1384">
        <v>0</v>
      </c>
      <c r="V1384">
        <v>9.0539567004821811E-2</v>
      </c>
      <c r="W1384">
        <v>4.7491989341963692E-2</v>
      </c>
      <c r="X1384">
        <v>6.5710485089616319E-3</v>
      </c>
      <c r="Y1384">
        <v>2.2503761722504987E-3</v>
      </c>
    </row>
    <row r="1385" spans="1:25" x14ac:dyDescent="0.25">
      <c r="A1385" s="1096"/>
      <c r="B1385" s="1455">
        <v>1135</v>
      </c>
      <c r="C1385" s="1100">
        <v>0.99227642403800786</v>
      </c>
      <c r="D1385" s="1100">
        <v>1.0088345493748994</v>
      </c>
      <c r="E1385" s="1100">
        <v>1.0108198655095801</v>
      </c>
      <c r="F1385" s="1100">
        <v>1.0080630863249758</v>
      </c>
      <c r="G1385" s="1100">
        <v>1.0445906207291471</v>
      </c>
      <c r="H1385" s="1100">
        <v>0.98235000273692774</v>
      </c>
      <c r="I1385" s="1100">
        <v>1.0240617760780788</v>
      </c>
      <c r="K1385">
        <v>1.1573942717977319</v>
      </c>
      <c r="L1385">
        <v>0</v>
      </c>
      <c r="M1385">
        <v>7.724280055070278E-4</v>
      </c>
      <c r="N1385">
        <v>7.3438218138243541E-2</v>
      </c>
      <c r="O1385">
        <v>1.0396745276735722E-2</v>
      </c>
      <c r="P1385">
        <v>1.3769806550477813E-2</v>
      </c>
      <c r="Q1385">
        <v>4.563818341217741E-4</v>
      </c>
      <c r="R1385">
        <v>7.7068653012887691E-4</v>
      </c>
      <c r="S1385">
        <v>7.4135401042175628E-2</v>
      </c>
      <c r="T1385">
        <v>0.83358622798060633</v>
      </c>
      <c r="U1385">
        <v>0</v>
      </c>
      <c r="V1385">
        <v>9.4196351487366908E-2</v>
      </c>
      <c r="W1385">
        <v>4.7935980506286391E-2</v>
      </c>
      <c r="X1385">
        <v>7.3833457788300139E-3</v>
      </c>
      <c r="Y1385">
        <v>2.0975546782644248E-3</v>
      </c>
    </row>
    <row r="1386" spans="1:25" x14ac:dyDescent="0.25">
      <c r="A1386" s="1096"/>
      <c r="B1386" s="1455">
        <v>1136</v>
      </c>
      <c r="C1386" s="1100">
        <v>0.98682038132716787</v>
      </c>
      <c r="D1386" s="1100">
        <v>0.972017525289673</v>
      </c>
      <c r="E1386" s="1100">
        <v>1.0360118080674703</v>
      </c>
      <c r="F1386" s="1100">
        <v>0.9918756543974423</v>
      </c>
      <c r="G1386" s="1100">
        <v>0.965876797588471</v>
      </c>
      <c r="H1386" s="1100">
        <v>0.99581279305416592</v>
      </c>
      <c r="I1386" s="1100">
        <v>0.99643220838241686</v>
      </c>
      <c r="K1386">
        <v>1.1466472449780634</v>
      </c>
      <c r="L1386">
        <v>0</v>
      </c>
      <c r="M1386">
        <v>7.5831008078697476E-4</v>
      </c>
      <c r="N1386">
        <v>7.7789637999412173E-2</v>
      </c>
      <c r="O1386">
        <v>1.0619334059727703E-2</v>
      </c>
      <c r="P1386">
        <v>1.3775982097480356E-2</v>
      </c>
      <c r="Q1386">
        <v>4.7795233841946278E-4</v>
      </c>
      <c r="R1386">
        <v>7.5662354832025562E-4</v>
      </c>
      <c r="S1386">
        <v>7.4525241466112904E-2</v>
      </c>
      <c r="T1386">
        <v>0.81856522293764233</v>
      </c>
      <c r="U1386">
        <v>0</v>
      </c>
      <c r="V1386">
        <v>9.0974645921476943E-2</v>
      </c>
      <c r="W1386">
        <v>5.0035398480605925E-2</v>
      </c>
      <c r="X1386">
        <v>7.8262363320094428E-3</v>
      </c>
      <c r="Y1386">
        <v>2.0592798776420656E-3</v>
      </c>
    </row>
    <row r="1387" spans="1:25" x14ac:dyDescent="0.25">
      <c r="A1387" s="1096"/>
      <c r="B1387" s="1455">
        <v>1137</v>
      </c>
      <c r="C1387" s="1100">
        <v>0.98644767952157597</v>
      </c>
      <c r="D1387" s="1100">
        <v>1.0263620488862677</v>
      </c>
      <c r="E1387" s="1100">
        <v>0.98139518846055362</v>
      </c>
      <c r="F1387" s="1100">
        <v>1.0156273575317616</v>
      </c>
      <c r="G1387" s="1100">
        <v>1.0020500896066462</v>
      </c>
      <c r="H1387" s="1100">
        <v>0.98452591894770258</v>
      </c>
      <c r="I1387" s="1100">
        <v>0.98727799748428569</v>
      </c>
      <c r="K1387">
        <v>1.1581114483657668</v>
      </c>
      <c r="L1387">
        <v>0</v>
      </c>
      <c r="M1387">
        <v>8.2200894515566342E-4</v>
      </c>
      <c r="N1387">
        <v>7.1502913807969498E-2</v>
      </c>
      <c r="O1387">
        <v>1.0376713566225899E-2</v>
      </c>
      <c r="P1387">
        <v>1.3519685217738915E-2</v>
      </c>
      <c r="Q1387">
        <v>4.421989279651376E-4</v>
      </c>
      <c r="R1387">
        <v>8.2015978312458503E-4</v>
      </c>
      <c r="S1387">
        <v>7.1314974336344247E-2</v>
      </c>
      <c r="T1387">
        <v>0.84182352659927562</v>
      </c>
      <c r="U1387">
        <v>0</v>
      </c>
      <c r="V1387">
        <v>9.2521079727860125E-2</v>
      </c>
      <c r="W1387">
        <v>4.7498724491863986E-2</v>
      </c>
      <c r="X1387">
        <v>6.8812762884876005E-3</v>
      </c>
      <c r="Y1387">
        <v>2.232204564065276E-3</v>
      </c>
    </row>
    <row r="1388" spans="1:25" x14ac:dyDescent="0.25">
      <c r="A1388" s="1096"/>
      <c r="B1388" s="1455">
        <v>1138</v>
      </c>
      <c r="C1388" s="1100">
        <v>0.99768530921401355</v>
      </c>
      <c r="D1388" s="1100">
        <v>1.0136274013651279</v>
      </c>
      <c r="E1388" s="1100">
        <v>0.95620558783450471</v>
      </c>
      <c r="F1388" s="1100">
        <v>0.98179130413847682</v>
      </c>
      <c r="G1388" s="1100">
        <v>1.021538668205465</v>
      </c>
      <c r="H1388" s="1100">
        <v>0.99663812012946229</v>
      </c>
      <c r="I1388" s="1100">
        <v>1.00210827376895</v>
      </c>
      <c r="K1388">
        <v>1.1309139439173177</v>
      </c>
      <c r="L1388">
        <v>0</v>
      </c>
      <c r="M1388">
        <v>8.7099639404203974E-4</v>
      </c>
      <c r="N1388">
        <v>7.0201812505038E-2</v>
      </c>
      <c r="O1388">
        <v>1.0303022661594665E-2</v>
      </c>
      <c r="P1388">
        <v>1.2935509287360869E-2</v>
      </c>
      <c r="Q1388">
        <v>4.2789151348344762E-4</v>
      </c>
      <c r="R1388">
        <v>8.6906084383769227E-4</v>
      </c>
      <c r="S1388">
        <v>7.2494286964691124E-2</v>
      </c>
      <c r="T1388">
        <v>0.81544008388255029</v>
      </c>
      <c r="U1388">
        <v>0</v>
      </c>
      <c r="V1388">
        <v>9.306882542838564E-2</v>
      </c>
      <c r="W1388">
        <v>4.7355593724762564E-2</v>
      </c>
      <c r="X1388">
        <v>6.3235563685589144E-3</v>
      </c>
      <c r="Y1388">
        <v>2.3652971310960218E-3</v>
      </c>
    </row>
    <row r="1389" spans="1:25" x14ac:dyDescent="0.25">
      <c r="A1389" s="1096"/>
      <c r="B1389" s="1455">
        <v>1139</v>
      </c>
      <c r="C1389" s="1100">
        <v>1.0181707552275689</v>
      </c>
      <c r="D1389" s="1100">
        <v>1.0283113824338346</v>
      </c>
      <c r="E1389" s="1100">
        <v>0.993114971089475</v>
      </c>
      <c r="F1389" s="1100">
        <v>1.0200389109404853</v>
      </c>
      <c r="G1389" s="1100">
        <v>1.0349281295699313</v>
      </c>
      <c r="H1389" s="1100">
        <v>1.0170214214409776</v>
      </c>
      <c r="I1389" s="1100">
        <v>1.0011264661668351</v>
      </c>
      <c r="K1389">
        <v>1.1625280868158323</v>
      </c>
      <c r="L1389">
        <v>0</v>
      </c>
      <c r="M1389">
        <v>8.0235486063062495E-4</v>
      </c>
      <c r="N1389">
        <v>7.2316412390273241E-2</v>
      </c>
      <c r="O1389">
        <v>1.0049497548522633E-2</v>
      </c>
      <c r="P1389">
        <v>1.3686878405370334E-2</v>
      </c>
      <c r="Q1389">
        <v>4.3336586067546466E-4</v>
      </c>
      <c r="R1389">
        <v>8.0060758280558206E-4</v>
      </c>
      <c r="S1389">
        <v>7.1292464617818199E-2</v>
      </c>
      <c r="T1389">
        <v>0.84468374684985825</v>
      </c>
      <c r="U1389">
        <v>0</v>
      </c>
      <c r="V1389">
        <v>9.3145868830569814E-2</v>
      </c>
      <c r="W1389">
        <v>4.7702299465778447E-2</v>
      </c>
      <c r="X1389">
        <v>7.0403102046139631E-3</v>
      </c>
      <c r="Y1389">
        <v>2.1789899201780528E-3</v>
      </c>
    </row>
    <row r="1390" spans="1:25" x14ac:dyDescent="0.25">
      <c r="A1390" s="1096"/>
      <c r="B1390" s="1455">
        <v>1140</v>
      </c>
      <c r="C1390" s="1100">
        <v>1.0267934040914928</v>
      </c>
      <c r="D1390" s="1100">
        <v>1.0327963731983025</v>
      </c>
      <c r="E1390" s="1100">
        <v>0.98392711397109234</v>
      </c>
      <c r="F1390" s="1100">
        <v>1.0224613379104186</v>
      </c>
      <c r="G1390" s="1100">
        <v>0.98073265330159265</v>
      </c>
      <c r="H1390" s="1100">
        <v>1.0079717733405706</v>
      </c>
      <c r="I1390" s="1100">
        <v>0.98717562355171873</v>
      </c>
      <c r="K1390">
        <v>1.1570642513041465</v>
      </c>
      <c r="L1390">
        <v>0</v>
      </c>
      <c r="M1390">
        <v>8.0228448545359931E-4</v>
      </c>
      <c r="N1390">
        <v>7.0327427940945153E-2</v>
      </c>
      <c r="O1390">
        <v>9.9448872654664087E-3</v>
      </c>
      <c r="P1390">
        <v>1.3565448381495033E-2</v>
      </c>
      <c r="Q1390">
        <v>4.2488725131322879E-4</v>
      </c>
      <c r="R1390">
        <v>8.005216750649177E-4</v>
      </c>
      <c r="S1390">
        <v>6.9194030965035486E-2</v>
      </c>
      <c r="T1390">
        <v>0.84731516760066439</v>
      </c>
      <c r="U1390">
        <v>0</v>
      </c>
      <c r="V1390">
        <v>9.0622904892293854E-2</v>
      </c>
      <c r="W1390">
        <v>4.6646640947681325E-2</v>
      </c>
      <c r="X1390">
        <v>6.8458627620131621E-3</v>
      </c>
      <c r="Y1390">
        <v>2.1787561076274439E-3</v>
      </c>
    </row>
    <row r="1391" spans="1:25" x14ac:dyDescent="0.25">
      <c r="A1391" s="1096"/>
      <c r="B1391" s="1455">
        <v>1141</v>
      </c>
      <c r="C1391" s="1100">
        <v>1.0293353656948085</v>
      </c>
      <c r="D1391" s="1100">
        <v>0.99541367878897802</v>
      </c>
      <c r="E1391" s="1100">
        <v>1.0318156624291051</v>
      </c>
      <c r="F1391" s="1100">
        <v>0.9736346689208365</v>
      </c>
      <c r="G1391" s="1100">
        <v>1.0062218581716036</v>
      </c>
      <c r="H1391" s="1100">
        <v>1.0130407740514207</v>
      </c>
      <c r="I1391" s="1100">
        <v>0.97917282564605856</v>
      </c>
      <c r="K1391">
        <v>1.1221218431879771</v>
      </c>
      <c r="L1391">
        <v>0</v>
      </c>
      <c r="M1391">
        <v>7.3900107868023006E-4</v>
      </c>
      <c r="N1391">
        <v>7.4859062759023376E-2</v>
      </c>
      <c r="O1391">
        <v>1.0082978274580054E-2</v>
      </c>
      <c r="P1391">
        <v>1.3474433377633236E-2</v>
      </c>
      <c r="Q1391">
        <v>4.5193735833564774E-4</v>
      </c>
      <c r="R1391">
        <v>7.3738544192567597E-4</v>
      </c>
      <c r="S1391">
        <v>7.0019969103695234E-2</v>
      </c>
      <c r="T1391">
        <v>0.80377747441261072</v>
      </c>
      <c r="U1391">
        <v>0</v>
      </c>
      <c r="V1391">
        <v>9.1660040962242187E-2</v>
      </c>
      <c r="W1391">
        <v>4.8267476457676005E-2</v>
      </c>
      <c r="X1391">
        <v>7.5231660250587081E-3</v>
      </c>
      <c r="Y1391">
        <v>2.0069200938760885E-3</v>
      </c>
    </row>
    <row r="1392" spans="1:25" x14ac:dyDescent="0.25">
      <c r="A1392" s="1096"/>
      <c r="B1392" s="1455">
        <v>1142</v>
      </c>
      <c r="C1392" s="1100">
        <v>0.98355944754484381</v>
      </c>
      <c r="D1392" s="1100">
        <v>0.99921419025885128</v>
      </c>
      <c r="E1392" s="1100">
        <v>0.98632654692970267</v>
      </c>
      <c r="F1392" s="1100">
        <v>1.0112933148878649</v>
      </c>
      <c r="G1392" s="1100">
        <v>0.97993001183646256</v>
      </c>
      <c r="H1392" s="1100">
        <v>1.0193751956704198</v>
      </c>
      <c r="I1392" s="1100">
        <v>0.99521178377764963</v>
      </c>
      <c r="K1392">
        <v>1.1632880377322858</v>
      </c>
      <c r="L1392">
        <v>0</v>
      </c>
      <c r="M1392">
        <v>8.5404837309721517E-4</v>
      </c>
      <c r="N1392">
        <v>7.5412135768096258E-2</v>
      </c>
      <c r="O1392">
        <v>1.0521015429513158E-2</v>
      </c>
      <c r="P1392">
        <v>1.3549142282027301E-2</v>
      </c>
      <c r="Q1392">
        <v>4.5059630553675453E-4</v>
      </c>
      <c r="R1392">
        <v>8.5219281743847085E-4</v>
      </c>
      <c r="S1392">
        <v>7.4539957400516277E-2</v>
      </c>
      <c r="T1392">
        <v>0.83789839483501227</v>
      </c>
      <c r="U1392">
        <v>0</v>
      </c>
      <c r="V1392">
        <v>9.1649629761273721E-2</v>
      </c>
      <c r="W1392">
        <v>4.9947092421994847E-2</v>
      </c>
      <c r="X1392">
        <v>7.0025411601932225E-3</v>
      </c>
      <c r="Y1392">
        <v>2.3193879237807494E-3</v>
      </c>
    </row>
    <row r="1393" spans="1:25" x14ac:dyDescent="0.25">
      <c r="A1393" s="1096"/>
      <c r="B1393" s="1455">
        <v>1143</v>
      </c>
      <c r="C1393" s="1100">
        <v>0.99015419147256989</v>
      </c>
      <c r="D1393" s="1100">
        <v>0.98092626758637302</v>
      </c>
      <c r="E1393" s="1100">
        <v>1.0043639390604928</v>
      </c>
      <c r="F1393" s="1100">
        <v>0.97403166624669835</v>
      </c>
      <c r="G1393" s="1100">
        <v>1.0318885677380387</v>
      </c>
      <c r="H1393" s="1100">
        <v>1.008074695884162</v>
      </c>
      <c r="I1393" s="1100">
        <v>1.0043824638581818</v>
      </c>
      <c r="K1393">
        <v>1.1339332892245024</v>
      </c>
      <c r="L1393">
        <v>0</v>
      </c>
      <c r="M1393">
        <v>8.1416129438565907E-4</v>
      </c>
      <c r="N1393">
        <v>7.591603743956922E-2</v>
      </c>
      <c r="O1393">
        <v>1.0534451444692386E-2</v>
      </c>
      <c r="P1393">
        <v>1.3329822053972793E-2</v>
      </c>
      <c r="Q1393">
        <v>4.5944801509645696E-4</v>
      </c>
      <c r="R1393">
        <v>8.1237257045872085E-4</v>
      </c>
      <c r="S1393">
        <v>7.4988355921885547E-2</v>
      </c>
      <c r="T1393">
        <v>0.80585977716501656</v>
      </c>
      <c r="U1393">
        <v>0</v>
      </c>
      <c r="V1393">
        <v>9.3706029957327769E-2</v>
      </c>
      <c r="W1393">
        <v>4.9742713940877516E-2</v>
      </c>
      <c r="X1393">
        <v>7.1874316717488434E-3</v>
      </c>
      <c r="Y1393">
        <v>2.2110103382427587E-3</v>
      </c>
    </row>
    <row r="1394" spans="1:25" x14ac:dyDescent="0.25">
      <c r="A1394" s="1096"/>
      <c r="B1394" s="1455">
        <v>1144</v>
      </c>
      <c r="C1394" s="1100">
        <v>0.98906262115479193</v>
      </c>
      <c r="D1394" s="1100">
        <v>1.0253435100968329</v>
      </c>
      <c r="E1394" s="1100">
        <v>1.0098490168092789</v>
      </c>
      <c r="F1394" s="1100">
        <v>1.0011451571438121</v>
      </c>
      <c r="G1394" s="1100">
        <v>0.96464634509192904</v>
      </c>
      <c r="H1394" s="1100">
        <v>0.9751393545171203</v>
      </c>
      <c r="I1394" s="1100">
        <v>0.97259936591838547</v>
      </c>
      <c r="K1394">
        <v>1.1423233010807301</v>
      </c>
      <c r="L1394">
        <v>0</v>
      </c>
      <c r="M1394">
        <v>7.6581442836453132E-4</v>
      </c>
      <c r="N1394">
        <v>7.2595136409281252E-2</v>
      </c>
      <c r="O1394">
        <v>1.0362705598071625E-2</v>
      </c>
      <c r="P1394">
        <v>1.3576318710124775E-2</v>
      </c>
      <c r="Q1394">
        <v>4.5444643577949057E-4</v>
      </c>
      <c r="R1394">
        <v>7.640750965599018E-4</v>
      </c>
      <c r="S1394">
        <v>6.9764991183975333E-2</v>
      </c>
      <c r="T1394">
        <v>0.82792968587257376</v>
      </c>
      <c r="U1394">
        <v>0</v>
      </c>
      <c r="V1394">
        <v>9.0860019911249465E-2</v>
      </c>
      <c r="W1394">
        <v>4.741279654158128E-2</v>
      </c>
      <c r="X1394">
        <v>7.2893792143491074E-3</v>
      </c>
      <c r="Y1394">
        <v>2.0795605355481651E-3</v>
      </c>
    </row>
    <row r="1395" spans="1:25" x14ac:dyDescent="0.25">
      <c r="A1395" s="1096"/>
      <c r="B1395" s="1455">
        <v>1145</v>
      </c>
      <c r="C1395" s="1100">
        <v>1.0178604415153121</v>
      </c>
      <c r="D1395" s="1100">
        <v>0.9647588361580961</v>
      </c>
      <c r="E1395" s="1100">
        <v>1.000854372758734</v>
      </c>
      <c r="F1395" s="1100">
        <v>1.0078062489860331</v>
      </c>
      <c r="G1395" s="1100">
        <v>0.9895045356779304</v>
      </c>
      <c r="H1395" s="1100">
        <v>1.0079376028162983</v>
      </c>
      <c r="I1395" s="1100">
        <v>1.0057932960977796</v>
      </c>
      <c r="K1395">
        <v>1.1554015384593666</v>
      </c>
      <c r="L1395">
        <v>0</v>
      </c>
      <c r="M1395">
        <v>8.0300070231607108E-4</v>
      </c>
      <c r="N1395">
        <v>7.4085781198806988E-2</v>
      </c>
      <c r="O1395">
        <v>1.0314907575079245E-2</v>
      </c>
      <c r="P1395">
        <v>1.3627232033952394E-2</v>
      </c>
      <c r="Q1395">
        <v>4.4829090216175275E-4</v>
      </c>
      <c r="R1395">
        <v>8.0123625841295833E-4</v>
      </c>
      <c r="S1395">
        <v>7.366601942771013E-2</v>
      </c>
      <c r="T1395">
        <v>0.83403685848039366</v>
      </c>
      <c r="U1395">
        <v>0</v>
      </c>
      <c r="V1395">
        <v>9.1212215323163023E-2</v>
      </c>
      <c r="W1395">
        <v>4.8644622653578627E-2</v>
      </c>
      <c r="X1395">
        <v>7.1866743404858475E-3</v>
      </c>
      <c r="Y1395">
        <v>2.1807009679384723E-3</v>
      </c>
    </row>
    <row r="1396" spans="1:25" x14ac:dyDescent="0.25">
      <c r="A1396" s="1096"/>
      <c r="B1396" s="1455">
        <v>1146</v>
      </c>
      <c r="C1396" s="1100">
        <v>0.98817908524407239</v>
      </c>
      <c r="D1396" s="1100">
        <v>0.96823549423599475</v>
      </c>
      <c r="E1396" s="1100">
        <v>0.96499449477629862</v>
      </c>
      <c r="F1396" s="1100">
        <v>1.0105471376804227</v>
      </c>
      <c r="G1396" s="1100">
        <v>1.0124494047785382</v>
      </c>
      <c r="H1396" s="1100">
        <v>1.0130281177724563</v>
      </c>
      <c r="I1396" s="1100">
        <v>1.019275034441862</v>
      </c>
      <c r="K1396">
        <v>1.1657416054428098</v>
      </c>
      <c r="L1396">
        <v>0</v>
      </c>
      <c r="M1396">
        <v>8.9402423692384208E-4</v>
      </c>
      <c r="N1396">
        <v>7.4005207344332802E-2</v>
      </c>
      <c r="O1396">
        <v>1.0597455244285054E-2</v>
      </c>
      <c r="P1396">
        <v>1.3389796524032405E-2</v>
      </c>
      <c r="Q1396">
        <v>4.4411188137260496E-4</v>
      </c>
      <c r="R1396">
        <v>8.9206965728361382E-4</v>
      </c>
      <c r="S1396">
        <v>7.6925801233817287E-2</v>
      </c>
      <c r="T1396">
        <v>0.83872431201748965</v>
      </c>
      <c r="U1396">
        <v>0</v>
      </c>
      <c r="V1396">
        <v>9.2919764591913215E-2</v>
      </c>
      <c r="W1396">
        <v>4.9652906284288818E-2</v>
      </c>
      <c r="X1396">
        <v>6.6562853644741163E-3</v>
      </c>
      <c r="Y1396">
        <v>2.4279195364425065E-3</v>
      </c>
    </row>
    <row r="1397" spans="1:25" x14ac:dyDescent="0.25">
      <c r="A1397" s="1096"/>
      <c r="B1397" s="1455">
        <v>1147</v>
      </c>
      <c r="C1397" s="1100">
        <v>0.97257650298594345</v>
      </c>
      <c r="D1397" s="1100">
        <v>1.0248793307209247</v>
      </c>
      <c r="E1397" s="1100">
        <v>1.0012299113639154</v>
      </c>
      <c r="F1397" s="1100">
        <v>1.0321385700517169</v>
      </c>
      <c r="G1397" s="1100">
        <v>0.99147484844097744</v>
      </c>
      <c r="H1397" s="1100">
        <v>0.9926391641858191</v>
      </c>
      <c r="I1397" s="1100">
        <v>1.0086404152927197</v>
      </c>
      <c r="K1397">
        <v>1.1788541704805908</v>
      </c>
      <c r="L1397">
        <v>0</v>
      </c>
      <c r="M1397">
        <v>8.0723167818836337E-4</v>
      </c>
      <c r="N1397">
        <v>7.4558146266836337E-2</v>
      </c>
      <c r="O1397">
        <v>1.0537397781953457E-2</v>
      </c>
      <c r="P1397">
        <v>1.3930933363326918E-2</v>
      </c>
      <c r="Q1397">
        <v>4.5813324028888016E-4</v>
      </c>
      <c r="R1397">
        <v>8.0543060082304994E-4</v>
      </c>
      <c r="S1397">
        <v>7.4314684221658989E-2</v>
      </c>
      <c r="T1397">
        <v>0.85414806936402865</v>
      </c>
      <c r="U1397">
        <v>0</v>
      </c>
      <c r="V1397">
        <v>9.2430193304893604E-2</v>
      </c>
      <c r="W1397">
        <v>4.8943860428634176E-2</v>
      </c>
      <c r="X1397">
        <v>7.342437001021696E-3</v>
      </c>
      <c r="Y1397">
        <v>2.1921165853141379E-3</v>
      </c>
    </row>
    <row r="1398" spans="1:25" x14ac:dyDescent="0.25">
      <c r="A1398" s="1096"/>
      <c r="B1398" s="1455">
        <v>1148</v>
      </c>
      <c r="C1398" s="1100">
        <v>1.032220067708737</v>
      </c>
      <c r="D1398" s="1100">
        <v>1.0366720388360569</v>
      </c>
      <c r="E1398" s="1100">
        <v>0.99145163499396738</v>
      </c>
      <c r="F1398" s="1100">
        <v>1.003440944375857</v>
      </c>
      <c r="G1398" s="1100">
        <v>1.0202259572883183</v>
      </c>
      <c r="H1398" s="1100">
        <v>0.99755631841364001</v>
      </c>
      <c r="I1398" s="1100">
        <v>1.0104952056074783</v>
      </c>
      <c r="K1398">
        <v>1.1415149256537649</v>
      </c>
      <c r="L1398">
        <v>0</v>
      </c>
      <c r="M1398">
        <v>7.7644744336917426E-4</v>
      </c>
      <c r="N1398">
        <v>6.9627412752361659E-2</v>
      </c>
      <c r="O1398">
        <v>9.8801411550307802E-3</v>
      </c>
      <c r="P1398">
        <v>1.3453502806192454E-2</v>
      </c>
      <c r="Q1398">
        <v>4.2534787397696699E-4</v>
      </c>
      <c r="R1398">
        <v>7.7472359041116262E-4</v>
      </c>
      <c r="S1398">
        <v>6.9920925971992842E-2</v>
      </c>
      <c r="T1398">
        <v>0.83105005791923392</v>
      </c>
      <c r="U1398">
        <v>0</v>
      </c>
      <c r="V1398">
        <v>9.2185784360384243E-2</v>
      </c>
      <c r="W1398">
        <v>4.5974251470560772E-2</v>
      </c>
      <c r="X1398">
        <v>6.8906829714517328E-3</v>
      </c>
      <c r="Y1398">
        <v>2.1085422255362426E-3</v>
      </c>
    </row>
    <row r="1399" spans="1:25" x14ac:dyDescent="0.25">
      <c r="A1399" s="1096"/>
      <c r="B1399" s="1455">
        <v>1149</v>
      </c>
      <c r="C1399" s="1100">
        <v>0.99086213832858194</v>
      </c>
      <c r="D1399" s="1100">
        <v>0.99652565475153332</v>
      </c>
      <c r="E1399" s="1100">
        <v>0.96363047817643033</v>
      </c>
      <c r="F1399" s="1100">
        <v>1.039326714349518</v>
      </c>
      <c r="G1399" s="1100">
        <v>1.0202879338600568</v>
      </c>
      <c r="H1399" s="1100">
        <v>1.0085576617629362</v>
      </c>
      <c r="I1399" s="1100">
        <v>1.0136586880161389</v>
      </c>
      <c r="K1399">
        <v>1.1857833640316202</v>
      </c>
      <c r="L1399">
        <v>0</v>
      </c>
      <c r="M1399">
        <v>8.7997388059325591E-4</v>
      </c>
      <c r="N1399">
        <v>7.2541097995251713E-2</v>
      </c>
      <c r="O1399">
        <v>1.0447259332404752E-2</v>
      </c>
      <c r="P1399">
        <v>1.3671519606245311E-2</v>
      </c>
      <c r="Q1399">
        <v>4.3720567233983607E-4</v>
      </c>
      <c r="R1399">
        <v>8.7804149128224034E-4</v>
      </c>
      <c r="S1399">
        <v>7.4988028841822735E-2</v>
      </c>
      <c r="T1399">
        <v>0.86270600361662853</v>
      </c>
      <c r="U1399">
        <v>0</v>
      </c>
      <c r="V1399">
        <v>9.3187045042639693E-2</v>
      </c>
      <c r="W1399">
        <v>4.8711185259480136E-2</v>
      </c>
      <c r="X1399">
        <v>6.7062115611471549E-3</v>
      </c>
      <c r="Y1399">
        <v>2.3897394929704475E-3</v>
      </c>
    </row>
    <row r="1400" spans="1:25" x14ac:dyDescent="0.25">
      <c r="A1400" s="1096"/>
      <c r="B1400" s="1455">
        <v>1150</v>
      </c>
      <c r="C1400" s="1100">
        <v>1.0092060510383878</v>
      </c>
      <c r="D1400" s="1100">
        <v>1.0397178684287463</v>
      </c>
      <c r="E1400" s="1100">
        <v>1.0066348061966892</v>
      </c>
      <c r="F1400" s="1100">
        <v>1.0030504102955609</v>
      </c>
      <c r="G1400" s="1100">
        <v>0.98367294949941886</v>
      </c>
      <c r="H1400" s="1100">
        <v>1.0257364709462484</v>
      </c>
      <c r="I1400" s="1100">
        <v>1.0252466978690189</v>
      </c>
      <c r="K1400">
        <v>1.1508033997567382</v>
      </c>
      <c r="L1400">
        <v>0</v>
      </c>
      <c r="M1400">
        <v>7.9034623780115489E-4</v>
      </c>
      <c r="N1400">
        <v>7.4205369162742632E-2</v>
      </c>
      <c r="O1400">
        <v>1.0098444056225307E-2</v>
      </c>
      <c r="P1400">
        <v>1.3625584980235654E-2</v>
      </c>
      <c r="Q1400">
        <v>4.4143548411254845E-4</v>
      </c>
      <c r="R1400">
        <v>7.8863973435088397E-4</v>
      </c>
      <c r="S1400">
        <v>7.3614945002326126E-2</v>
      </c>
      <c r="T1400">
        <v>0.82971788148330305</v>
      </c>
      <c r="U1400">
        <v>0</v>
      </c>
      <c r="V1400">
        <v>9.1172617429814112E-2</v>
      </c>
      <c r="W1400">
        <v>4.855653131585521E-2</v>
      </c>
      <c r="X1400">
        <v>7.2258799636879985E-3</v>
      </c>
      <c r="Y1400">
        <v>2.1464173818845477E-3</v>
      </c>
    </row>
    <row r="1401" spans="1:25" x14ac:dyDescent="0.25">
      <c r="A1401" s="1096"/>
      <c r="B1401" s="1455">
        <v>1151</v>
      </c>
      <c r="C1401" s="1100">
        <v>1.0012121783224899</v>
      </c>
      <c r="D1401" s="1100">
        <v>1.0253815190050772</v>
      </c>
      <c r="E1401" s="1100">
        <v>0.9802593253052776</v>
      </c>
      <c r="F1401" s="1100">
        <v>0.98963694408518532</v>
      </c>
      <c r="G1401" s="1100">
        <v>0.97338271151793376</v>
      </c>
      <c r="H1401" s="1100">
        <v>1.0059286330086854</v>
      </c>
      <c r="I1401" s="1100">
        <v>1.0004554952094704</v>
      </c>
      <c r="K1401">
        <v>1.1359806892604902</v>
      </c>
      <c r="L1401">
        <v>0</v>
      </c>
      <c r="M1401">
        <v>8.2975657575571238E-4</v>
      </c>
      <c r="N1401">
        <v>7.1932684405878008E-2</v>
      </c>
      <c r="O1401">
        <v>1.0227235074142714E-2</v>
      </c>
      <c r="P1401">
        <v>1.3208760931105262E-2</v>
      </c>
      <c r="Q1401">
        <v>4.3532633188860545E-4</v>
      </c>
      <c r="R1401">
        <v>8.2792969958699059E-4</v>
      </c>
      <c r="S1401">
        <v>7.2095934181844359E-2</v>
      </c>
      <c r="T1401">
        <v>0.82035595815946105</v>
      </c>
      <c r="U1401">
        <v>0</v>
      </c>
      <c r="V1401">
        <v>9.0924562632905784E-2</v>
      </c>
      <c r="W1401">
        <v>4.7816980190208337E-2</v>
      </c>
      <c r="X1401">
        <v>6.7317225138991185E-3</v>
      </c>
      <c r="Y1401">
        <v>2.2533517153236703E-3</v>
      </c>
    </row>
    <row r="1402" spans="1:25" x14ac:dyDescent="0.25">
      <c r="A1402" s="1096"/>
      <c r="B1402" s="1455">
        <v>1152</v>
      </c>
      <c r="C1402" s="1100">
        <v>0.98437005899911323</v>
      </c>
      <c r="D1402" s="1100">
        <v>0.99600370906827895</v>
      </c>
      <c r="E1402" s="1100">
        <v>0.98222759187076059</v>
      </c>
      <c r="F1402" s="1100">
        <v>0.99762540848148551</v>
      </c>
      <c r="G1402" s="1100">
        <v>0.98762454339436179</v>
      </c>
      <c r="H1402" s="1100">
        <v>1.0333149864252307</v>
      </c>
      <c r="I1402" s="1100">
        <v>1.0045725393246838</v>
      </c>
      <c r="K1402">
        <v>1.1550595292263974</v>
      </c>
      <c r="L1402">
        <v>0</v>
      </c>
      <c r="M1402">
        <v>8.7350599922690413E-4</v>
      </c>
      <c r="N1402">
        <v>7.6182105980362763E-2</v>
      </c>
      <c r="O1402">
        <v>1.0524530877874439E-2</v>
      </c>
      <c r="P1402">
        <v>1.3380651904407976E-2</v>
      </c>
      <c r="Q1402">
        <v>4.4887732672673435E-4</v>
      </c>
      <c r="R1402">
        <v>8.7163377120187983E-4</v>
      </c>
      <c r="S1402">
        <v>7.5877680575246048E-2</v>
      </c>
      <c r="T1402">
        <v>0.8268467755079012</v>
      </c>
      <c r="U1402">
        <v>0</v>
      </c>
      <c r="V1402">
        <v>9.1957299645129484E-2</v>
      </c>
      <c r="W1402">
        <v>5.0581675087751368E-2</v>
      </c>
      <c r="X1402">
        <v>6.8895047578053396E-3</v>
      </c>
      <c r="Y1402">
        <v>2.3722997912160627E-3</v>
      </c>
    </row>
    <row r="1403" spans="1:25" x14ac:dyDescent="0.25">
      <c r="A1403" s="1096"/>
      <c r="B1403" s="1455">
        <v>1153</v>
      </c>
      <c r="C1403" s="1100">
        <v>0.97279418919667893</v>
      </c>
      <c r="D1403" s="1100">
        <v>0.96447929058499748</v>
      </c>
      <c r="E1403" s="1100">
        <v>0.9803362505283556</v>
      </c>
      <c r="F1403" s="1100">
        <v>0.98539811050062232</v>
      </c>
      <c r="G1403" s="1100">
        <v>0.97236489676294069</v>
      </c>
      <c r="H1403" s="1100">
        <v>1.0251691832091476</v>
      </c>
      <c r="I1403" s="1100">
        <v>0.95556877663133588</v>
      </c>
      <c r="K1403">
        <v>1.1448012699985413</v>
      </c>
      <c r="L1403">
        <v>0</v>
      </c>
      <c r="M1403">
        <v>8.9176860419072613E-4</v>
      </c>
      <c r="N1403">
        <v>7.7329785950802962E-2</v>
      </c>
      <c r="O1403">
        <v>1.0787019890324564E-2</v>
      </c>
      <c r="P1403">
        <v>1.3195868754451626E-2</v>
      </c>
      <c r="Q1403">
        <v>4.5918969055802383E-4</v>
      </c>
      <c r="R1403">
        <v>8.8984204563458688E-4</v>
      </c>
      <c r="S1403">
        <v>7.3914922526463894E-2</v>
      </c>
      <c r="T1403">
        <v>0.81683712563387301</v>
      </c>
      <c r="U1403">
        <v>0</v>
      </c>
      <c r="V1403">
        <v>9.1603917117181327E-2</v>
      </c>
      <c r="W1403">
        <v>5.1402295961553164E-2</v>
      </c>
      <c r="X1403">
        <v>6.8512143200213016E-3</v>
      </c>
      <c r="Y1403">
        <v>2.4218567118658376E-3</v>
      </c>
    </row>
    <row r="1404" spans="1:25" x14ac:dyDescent="0.25">
      <c r="A1404" s="1096"/>
      <c r="B1404" s="1455">
        <v>1154</v>
      </c>
      <c r="C1404" s="1100">
        <v>0.99032199492686912</v>
      </c>
      <c r="D1404" s="1100">
        <v>1.0330491475151118</v>
      </c>
      <c r="E1404" s="1100">
        <v>0.97803449792692498</v>
      </c>
      <c r="F1404" s="1100">
        <v>0.97750175509678972</v>
      </c>
      <c r="G1404" s="1100">
        <v>0.99340842119301487</v>
      </c>
      <c r="H1404" s="1100">
        <v>1.0024719686271881</v>
      </c>
      <c r="I1404" s="1100">
        <v>0.99980401459624857</v>
      </c>
      <c r="K1404">
        <v>1.127775919664433</v>
      </c>
      <c r="L1404">
        <v>0</v>
      </c>
      <c r="M1404">
        <v>8.3735372026868149E-4</v>
      </c>
      <c r="N1404">
        <v>7.2103699306844141E-2</v>
      </c>
      <c r="O1404">
        <v>1.0308210129047138E-2</v>
      </c>
      <c r="P1404">
        <v>1.3073005552945534E-2</v>
      </c>
      <c r="Q1404">
        <v>4.3778151626768359E-4</v>
      </c>
      <c r="R1404">
        <v>8.3550376045480386E-4</v>
      </c>
      <c r="S1404">
        <v>7.2421173207008888E-2</v>
      </c>
      <c r="T1404">
        <v>0.81044198525796307</v>
      </c>
      <c r="U1404">
        <v>0</v>
      </c>
      <c r="V1404">
        <v>9.2052782642545392E-2</v>
      </c>
      <c r="W1404">
        <v>4.7995138779852467E-2</v>
      </c>
      <c r="X1404">
        <v>6.6700274195539196E-3</v>
      </c>
      <c r="Y1404">
        <v>2.2739658122173643E-3</v>
      </c>
    </row>
    <row r="1405" spans="1:25" x14ac:dyDescent="0.25">
      <c r="A1405" s="1096"/>
      <c r="B1405" s="1455">
        <v>1155</v>
      </c>
      <c r="C1405" s="1100">
        <v>0.97146507462939657</v>
      </c>
      <c r="D1405" s="1100">
        <v>1.0273335167498918</v>
      </c>
      <c r="E1405" s="1100">
        <v>0.99991484061847569</v>
      </c>
      <c r="F1405" s="1100">
        <v>0.99448690950499197</v>
      </c>
      <c r="G1405" s="1100">
        <v>0.97337315076359754</v>
      </c>
      <c r="H1405" s="1100">
        <v>1.0078919899856407</v>
      </c>
      <c r="I1405" s="1100">
        <v>0.9891467418546771</v>
      </c>
      <c r="K1405">
        <v>1.1474394040056626</v>
      </c>
      <c r="L1405">
        <v>0</v>
      </c>
      <c r="M1405">
        <v>8.2202812340218478E-4</v>
      </c>
      <c r="N1405">
        <v>7.5626299380089093E-2</v>
      </c>
      <c r="O1405">
        <v>1.0538927173712116E-2</v>
      </c>
      <c r="P1405">
        <v>1.3472414430231696E-2</v>
      </c>
      <c r="Q1405">
        <v>4.5759463931057125E-4</v>
      </c>
      <c r="R1405">
        <v>8.2022178855566726E-4</v>
      </c>
      <c r="S1405">
        <v>7.3495828477345093E-2</v>
      </c>
      <c r="T1405">
        <v>0.8230759318687636</v>
      </c>
      <c r="U1405">
        <v>0</v>
      </c>
      <c r="V1405">
        <v>9.1685219803182477E-2</v>
      </c>
      <c r="W1405">
        <v>4.9683852406854537E-2</v>
      </c>
      <c r="X1405">
        <v>7.1727688386120673E-3</v>
      </c>
      <c r="Y1405">
        <v>2.2323733224085965E-3</v>
      </c>
    </row>
    <row r="1406" spans="1:25" x14ac:dyDescent="0.25">
      <c r="A1406" s="1096"/>
      <c r="B1406" s="1455">
        <v>1156</v>
      </c>
      <c r="C1406" s="1100">
        <v>1.0083185686074354</v>
      </c>
      <c r="D1406" s="1100">
        <v>0.99127546571123437</v>
      </c>
      <c r="E1406" s="1100">
        <v>1.0363412314980489</v>
      </c>
      <c r="F1406" s="1100">
        <v>1.0084681842198324</v>
      </c>
      <c r="G1406" s="1100">
        <v>1.0212762074521999</v>
      </c>
      <c r="H1406" s="1100">
        <v>1.0174648417460939</v>
      </c>
      <c r="I1406" s="1100">
        <v>0.9730948537315226</v>
      </c>
      <c r="K1406">
        <v>1.157859834881759</v>
      </c>
      <c r="L1406">
        <v>0</v>
      </c>
      <c r="M1406">
        <v>7.5183473760039011E-4</v>
      </c>
      <c r="N1406">
        <v>7.7205634959876229E-2</v>
      </c>
      <c r="O1406">
        <v>1.0311790178087183E-2</v>
      </c>
      <c r="P1406">
        <v>1.3952067159677953E-2</v>
      </c>
      <c r="Q1406">
        <v>4.6426115379233753E-4</v>
      </c>
      <c r="R1406">
        <v>7.5019819032821845E-4</v>
      </c>
      <c r="S1406">
        <v>7.1367248194840457E-2</v>
      </c>
      <c r="T1406">
        <v>0.83223693550942368</v>
      </c>
      <c r="U1406">
        <v>0</v>
      </c>
      <c r="V1406">
        <v>9.2806177742296742E-2</v>
      </c>
      <c r="W1406">
        <v>4.9650310170418627E-2</v>
      </c>
      <c r="X1406">
        <v>7.8252541893111729E-3</v>
      </c>
      <c r="Y1406">
        <v>2.0417921713064341E-3</v>
      </c>
    </row>
    <row r="1407" spans="1:25" x14ac:dyDescent="0.25">
      <c r="A1407" s="1096"/>
      <c r="B1407" s="1455">
        <v>1157</v>
      </c>
      <c r="C1407" s="1100">
        <v>1.0158945610032275</v>
      </c>
      <c r="D1407" s="1100">
        <v>1.0018593334222703</v>
      </c>
      <c r="E1407" s="1100">
        <v>0.96797893808330471</v>
      </c>
      <c r="F1407" s="1100">
        <v>0.9933306417209008</v>
      </c>
      <c r="G1407" s="1100">
        <v>0.99564364207696332</v>
      </c>
      <c r="H1407" s="1100">
        <v>1.0275554551849653</v>
      </c>
      <c r="I1407" s="1100">
        <v>0.99843758152976536</v>
      </c>
      <c r="K1407">
        <v>1.1416089206388966</v>
      </c>
      <c r="L1407">
        <v>0</v>
      </c>
      <c r="M1407">
        <v>8.6479964956638362E-4</v>
      </c>
      <c r="N1407">
        <v>7.2238295079918607E-2</v>
      </c>
      <c r="O1407">
        <v>1.0169488822080502E-2</v>
      </c>
      <c r="P1407">
        <v>1.3151660068406144E-2</v>
      </c>
      <c r="Q1407">
        <v>4.274814424542783E-4</v>
      </c>
      <c r="R1407">
        <v>8.6293569289117944E-4</v>
      </c>
      <c r="S1407">
        <v>7.2608725439971142E-2</v>
      </c>
      <c r="T1407">
        <v>0.82423564818845596</v>
      </c>
      <c r="U1407">
        <v>0</v>
      </c>
      <c r="V1407">
        <v>9.1517406412598798E-2</v>
      </c>
      <c r="W1407">
        <v>4.837921421069253E-2</v>
      </c>
      <c r="X1407">
        <v>6.5342384416188105E-3</v>
      </c>
      <c r="Y1407">
        <v>2.3486264893750803E-3</v>
      </c>
    </row>
    <row r="1408" spans="1:25" x14ac:dyDescent="0.25">
      <c r="A1408" s="1096"/>
      <c r="B1408" s="1455">
        <v>1158</v>
      </c>
      <c r="C1408" s="1100">
        <v>1.0110149357074969</v>
      </c>
      <c r="D1408" s="1100">
        <v>1.0046412622403069</v>
      </c>
      <c r="E1408" s="1100">
        <v>1.0204137221397516</v>
      </c>
      <c r="F1408" s="1100">
        <v>1.0003748425429926</v>
      </c>
      <c r="G1408" s="1100">
        <v>1.007488286215104</v>
      </c>
      <c r="H1408" s="1100">
        <v>1.0110112500707968</v>
      </c>
      <c r="I1408" s="1100">
        <v>0.9952038278670875</v>
      </c>
      <c r="K1408">
        <v>1.1483614662361104</v>
      </c>
      <c r="L1408">
        <v>0</v>
      </c>
      <c r="M1408">
        <v>7.6609560769911461E-4</v>
      </c>
      <c r="N1408">
        <v>7.4980539600816853E-2</v>
      </c>
      <c r="O1408">
        <v>1.0224170879469677E-2</v>
      </c>
      <c r="P1408">
        <v>1.3713070159455262E-2</v>
      </c>
      <c r="Q1408">
        <v>4.5311790480667669E-4</v>
      </c>
      <c r="R1408">
        <v>7.6441737351891738E-4</v>
      </c>
      <c r="S1408">
        <v>7.2019621475553408E-2</v>
      </c>
      <c r="T1408">
        <v>0.8265981348674708</v>
      </c>
      <c r="U1408">
        <v>0</v>
      </c>
      <c r="V1408">
        <v>9.2148836985495378E-2</v>
      </c>
      <c r="W1408">
        <v>4.8667827582290227E-2</v>
      </c>
      <c r="X1408">
        <v>7.4773329143316639E-3</v>
      </c>
      <c r="Y1408">
        <v>2.0804921005990367E-3</v>
      </c>
    </row>
    <row r="1409" spans="1:25" x14ac:dyDescent="0.25">
      <c r="A1409" s="1096"/>
      <c r="B1409" s="1455">
        <v>1159</v>
      </c>
      <c r="C1409" s="1100">
        <v>1.0149312976883764</v>
      </c>
      <c r="D1409" s="1100">
        <v>1.0082437286528492</v>
      </c>
      <c r="E1409" s="1100">
        <v>0.98863823534651862</v>
      </c>
      <c r="F1409" s="1100">
        <v>0.99563417267383614</v>
      </c>
      <c r="G1409" s="1100">
        <v>0.98608225592547816</v>
      </c>
      <c r="H1409" s="1100">
        <v>1.0056944025593966</v>
      </c>
      <c r="I1409" s="1100">
        <v>0.98668250639137556</v>
      </c>
      <c r="K1409">
        <v>1.1392815953925557</v>
      </c>
      <c r="L1409">
        <v>0</v>
      </c>
      <c r="M1409">
        <v>8.097243629635912E-4</v>
      </c>
      <c r="N1409">
        <v>7.1997773255485537E-2</v>
      </c>
      <c r="O1409">
        <v>1.0159926167411848E-2</v>
      </c>
      <c r="P1409">
        <v>1.3337159560292543E-2</v>
      </c>
      <c r="Q1409">
        <v>4.3615082866779731E-4</v>
      </c>
      <c r="R1409">
        <v>8.079411765298108E-4</v>
      </c>
      <c r="S1409">
        <v>7.0751130951176022E-2</v>
      </c>
      <c r="T1409">
        <v>0.8247708376373275</v>
      </c>
      <c r="U1409">
        <v>0</v>
      </c>
      <c r="V1409">
        <v>9.1134362297125723E-2</v>
      </c>
      <c r="W1409">
        <v>4.7619563158938588E-2</v>
      </c>
      <c r="X1409">
        <v>6.8775251777853132E-3</v>
      </c>
      <c r="Y1409">
        <v>2.198949544776882E-3</v>
      </c>
    </row>
    <row r="1410" spans="1:25" x14ac:dyDescent="0.25">
      <c r="A1410" s="1096"/>
      <c r="B1410" s="1455">
        <v>1160</v>
      </c>
      <c r="C1410" s="1100">
        <v>0.99467915816507091</v>
      </c>
      <c r="D1410" s="1100">
        <v>0.95161534502229184</v>
      </c>
      <c r="E1410" s="1100">
        <v>0.96338610295477745</v>
      </c>
      <c r="F1410" s="1100">
        <v>1.0099333880504466</v>
      </c>
      <c r="G1410" s="1100">
        <v>0.98913821686326242</v>
      </c>
      <c r="H1410" s="1100">
        <v>1.0232755465110166</v>
      </c>
      <c r="I1410" s="1100">
        <v>0.98557820613015157</v>
      </c>
      <c r="K1410">
        <v>1.1633150619210384</v>
      </c>
      <c r="L1410">
        <v>0</v>
      </c>
      <c r="M1410">
        <v>9.0640345221208697E-4</v>
      </c>
      <c r="N1410">
        <v>7.46669025276544E-2</v>
      </c>
      <c r="O1410">
        <v>1.0600834878876369E-2</v>
      </c>
      <c r="P1410">
        <v>1.3326597482078239E-2</v>
      </c>
      <c r="Q1410">
        <v>4.4352143598993241E-4</v>
      </c>
      <c r="R1410">
        <v>9.0444165310269949E-4</v>
      </c>
      <c r="S1410">
        <v>7.4975865448360671E-2</v>
      </c>
      <c r="T1410">
        <v>0.83832434007672274</v>
      </c>
      <c r="U1410">
        <v>0</v>
      </c>
      <c r="V1410">
        <v>9.1758592029966862E-2</v>
      </c>
      <c r="W1410">
        <v>5.0146154753449336E-2</v>
      </c>
      <c r="X1410">
        <v>6.6126230564137424E-3</v>
      </c>
      <c r="Y1410">
        <v>2.4615920306347325E-3</v>
      </c>
    </row>
    <row r="1411" spans="1:25" x14ac:dyDescent="0.25">
      <c r="A1411" s="1096"/>
      <c r="B1411" s="1455">
        <v>1161</v>
      </c>
      <c r="C1411" s="1100">
        <v>0.97574610651014004</v>
      </c>
      <c r="D1411" s="1100">
        <v>1.0228676655958895</v>
      </c>
      <c r="E1411" s="1100">
        <v>1.0398742987614267</v>
      </c>
      <c r="F1411" s="1100">
        <v>1.0096989792346762</v>
      </c>
      <c r="G1411" s="1100">
        <v>0.97184948198585286</v>
      </c>
      <c r="H1411" s="1100">
        <v>1.0202894477443396</v>
      </c>
      <c r="I1411" s="1100">
        <v>0.99466107323456399</v>
      </c>
      <c r="K1411">
        <v>1.1640400771342385</v>
      </c>
      <c r="L1411">
        <v>0</v>
      </c>
      <c r="M1411">
        <v>7.6372341539557558E-4</v>
      </c>
      <c r="N1411">
        <v>7.9266216410389667E-2</v>
      </c>
      <c r="O1411">
        <v>1.052431191863683E-2</v>
      </c>
      <c r="P1411">
        <v>1.4021840617769172E-2</v>
      </c>
      <c r="Q1411">
        <v>4.7548005737969851E-4</v>
      </c>
      <c r="R1411">
        <v>7.6206559190561093E-4</v>
      </c>
      <c r="S1411">
        <v>7.4303176901341556E-2</v>
      </c>
      <c r="T1411">
        <v>0.8330208791528958</v>
      </c>
      <c r="U1411">
        <v>0</v>
      </c>
      <c r="V1411">
        <v>9.1515856724097733E-2</v>
      </c>
      <c r="W1411">
        <v>5.0871677846294282E-2</v>
      </c>
      <c r="X1411">
        <v>7.968204002609492E-3</v>
      </c>
      <c r="Y1411">
        <v>2.074091326312217E-3</v>
      </c>
    </row>
    <row r="1412" spans="1:25" x14ac:dyDescent="0.25">
      <c r="A1412" s="1096"/>
      <c r="B1412" s="1455">
        <v>1162</v>
      </c>
      <c r="C1412" s="1100">
        <v>0.96855417047959791</v>
      </c>
      <c r="D1412" s="1100">
        <v>1.0164933505459093</v>
      </c>
      <c r="E1412" s="1100">
        <v>1.0142921433627554</v>
      </c>
      <c r="F1412" s="1100">
        <v>1.0367020959048807</v>
      </c>
      <c r="G1412" s="1100">
        <v>1.026699581492023</v>
      </c>
      <c r="H1412" s="1100">
        <v>0.98224870505821882</v>
      </c>
      <c r="I1412" s="1100">
        <v>0.98270242140323494</v>
      </c>
      <c r="K1412">
        <v>1.1828640197708815</v>
      </c>
      <c r="L1412">
        <v>0</v>
      </c>
      <c r="M1412">
        <v>7.8320249629200509E-4</v>
      </c>
      <c r="N1412">
        <v>7.5247114290770592E-2</v>
      </c>
      <c r="O1412">
        <v>1.0620380763271597E-2</v>
      </c>
      <c r="P1412">
        <v>1.4104885677264556E-2</v>
      </c>
      <c r="Q1412">
        <v>4.6781738316774404E-4</v>
      </c>
      <c r="R1412">
        <v>7.8143654721546905E-4</v>
      </c>
      <c r="S1412">
        <v>7.260074605619328E-2</v>
      </c>
      <c r="T1412">
        <v>0.85703150686191965</v>
      </c>
      <c r="U1412">
        <v>0</v>
      </c>
      <c r="V1412">
        <v>9.4043939913823316E-2</v>
      </c>
      <c r="W1412">
        <v>4.9016454639520375E-2</v>
      </c>
      <c r="X1412">
        <v>7.6061274529959115E-3</v>
      </c>
      <c r="Y1412">
        <v>2.1268126810319488E-3</v>
      </c>
    </row>
    <row r="1413" spans="1:25" x14ac:dyDescent="0.25">
      <c r="A1413" s="1096"/>
      <c r="B1413" s="1455">
        <v>1163</v>
      </c>
      <c r="C1413" s="1100">
        <v>0.98071303489318684</v>
      </c>
      <c r="D1413" s="1100">
        <v>1.0329596422110483</v>
      </c>
      <c r="E1413" s="1100">
        <v>0.99404829401171779</v>
      </c>
      <c r="F1413" s="1100">
        <v>1.0120679179560359</v>
      </c>
      <c r="G1413" s="1100">
        <v>0.99606039123477785</v>
      </c>
      <c r="H1413" s="1100">
        <v>1.0073151253095725</v>
      </c>
      <c r="I1413" s="1100">
        <v>0.99024479377552566</v>
      </c>
      <c r="K1413">
        <v>1.1601716969942482</v>
      </c>
      <c r="L1413">
        <v>0</v>
      </c>
      <c r="M1413">
        <v>8.2197191147083935E-4</v>
      </c>
      <c r="N1413">
        <v>7.4292233776060423E-2</v>
      </c>
      <c r="O1413">
        <v>1.0414833799885821E-2</v>
      </c>
      <c r="P1413">
        <v>1.3614554106772344E-2</v>
      </c>
      <c r="Q1413">
        <v>4.4954335105189898E-4</v>
      </c>
      <c r="R1413">
        <v>8.2016466577217683E-4</v>
      </c>
      <c r="S1413">
        <v>7.2649795258801192E-2</v>
      </c>
      <c r="T1413">
        <v>0.83802031699779134</v>
      </c>
      <c r="U1413">
        <v>0</v>
      </c>
      <c r="V1413">
        <v>9.2413688524711671E-2</v>
      </c>
      <c r="W1413">
        <v>4.8978301882668135E-2</v>
      </c>
      <c r="X1413">
        <v>7.1080186891802552E-3</v>
      </c>
      <c r="Y1413">
        <v>2.2322178530224559E-3</v>
      </c>
    </row>
    <row r="1414" spans="1:25" x14ac:dyDescent="0.25">
      <c r="A1414" s="1096"/>
      <c r="B1414" s="1455">
        <v>1164</v>
      </c>
      <c r="C1414" s="1100">
        <v>1.0029021676772858</v>
      </c>
      <c r="D1414" s="1100">
        <v>1.004233546946002</v>
      </c>
      <c r="E1414" s="1100">
        <v>1.0230763878015596</v>
      </c>
      <c r="F1414" s="1100">
        <v>0.9712406102134763</v>
      </c>
      <c r="G1414" s="1100">
        <v>1.0005112201761843</v>
      </c>
      <c r="H1414" s="1100">
        <v>0.98688362611358049</v>
      </c>
      <c r="I1414" s="1100">
        <v>1.0042045801801467</v>
      </c>
      <c r="K1414">
        <v>1.1222377142540818</v>
      </c>
      <c r="L1414">
        <v>0</v>
      </c>
      <c r="M1414">
        <v>7.4981784526984398E-4</v>
      </c>
      <c r="N1414">
        <v>7.3975201204825522E-2</v>
      </c>
      <c r="O1414">
        <v>1.0309421173305107E-2</v>
      </c>
      <c r="P1414">
        <v>1.3406159139232023E-2</v>
      </c>
      <c r="Q1414">
        <v>4.5810592875662249E-4</v>
      </c>
      <c r="R1414">
        <v>7.4813511151468174E-4</v>
      </c>
      <c r="S1414">
        <v>7.2295652645621544E-2</v>
      </c>
      <c r="T1414">
        <v>0.80235546740659724</v>
      </c>
      <c r="U1414">
        <v>0</v>
      </c>
      <c r="V1414">
        <v>9.2049432581999518E-2</v>
      </c>
      <c r="W1414">
        <v>4.79406521339358E-2</v>
      </c>
      <c r="X1414">
        <v>7.4131276226923224E-3</v>
      </c>
      <c r="Y1414">
        <v>2.0361771508697348E-3</v>
      </c>
    </row>
    <row r="1415" spans="1:25" x14ac:dyDescent="0.25">
      <c r="A1415" s="1096"/>
      <c r="B1415" s="1455">
        <v>1165</v>
      </c>
      <c r="C1415" s="1100">
        <v>1.0330749978573084</v>
      </c>
      <c r="D1415" s="1100">
        <v>0.98500343160954174</v>
      </c>
      <c r="E1415" s="1100">
        <v>1.0197100854538181</v>
      </c>
      <c r="F1415" s="1100">
        <v>1.0442441177785045</v>
      </c>
      <c r="G1415" s="1100">
        <v>0.96535629806730505</v>
      </c>
      <c r="H1415" s="1100">
        <v>0.99444234713989832</v>
      </c>
      <c r="I1415" s="1100">
        <v>1.0237327644584275</v>
      </c>
      <c r="K1415">
        <v>1.1795061695348579</v>
      </c>
      <c r="L1415">
        <v>0</v>
      </c>
      <c r="M1415">
        <v>7.4438471707230524E-4</v>
      </c>
      <c r="N1415">
        <v>7.2698469756965395E-2</v>
      </c>
      <c r="O1415">
        <v>1.008494279755401E-2</v>
      </c>
      <c r="P1415">
        <v>1.4183424099591965E-2</v>
      </c>
      <c r="Q1415">
        <v>4.4663502538949592E-4</v>
      </c>
      <c r="R1415">
        <v>7.4272687401070645E-4</v>
      </c>
      <c r="S1415">
        <v>7.2566750198667415E-2</v>
      </c>
      <c r="T1415">
        <v>0.86289497589791564</v>
      </c>
      <c r="U1415">
        <v>0</v>
      </c>
      <c r="V1415">
        <v>8.9824369589118366E-2</v>
      </c>
      <c r="W1415">
        <v>4.7206026270345015E-2</v>
      </c>
      <c r="X1415">
        <v>7.5807760311620426E-3</v>
      </c>
      <c r="Y1415">
        <v>2.0214577112089276E-3</v>
      </c>
    </row>
    <row r="1416" spans="1:25" x14ac:dyDescent="0.25">
      <c r="A1416" s="1096"/>
      <c r="B1416" s="1455">
        <v>1166</v>
      </c>
      <c r="C1416" s="1100">
        <v>0.96865947098987448</v>
      </c>
      <c r="D1416" s="1100">
        <v>1.0025977982821161</v>
      </c>
      <c r="E1416" s="1100">
        <v>0.98840082326459389</v>
      </c>
      <c r="F1416" s="1100">
        <v>1.0392737935294423</v>
      </c>
      <c r="G1416" s="1100">
        <v>1.0267269783220345</v>
      </c>
      <c r="H1416" s="1100">
        <v>0.97533500052993694</v>
      </c>
      <c r="I1416" s="1100">
        <v>0.98995862782189437</v>
      </c>
      <c r="K1416">
        <v>1.1845324755805393</v>
      </c>
      <c r="L1416">
        <v>0</v>
      </c>
      <c r="M1416">
        <v>8.2504854606682196E-4</v>
      </c>
      <c r="N1416">
        <v>7.330266326861383E-2</v>
      </c>
      <c r="O1416">
        <v>1.066911324963989E-2</v>
      </c>
      <c r="P1416">
        <v>1.3897659166469362E-2</v>
      </c>
      <c r="Q1416">
        <v>4.5789950354695928E-4</v>
      </c>
      <c r="R1416">
        <v>8.2317505653091568E-4</v>
      </c>
      <c r="S1416">
        <v>7.3330449776511833E-2</v>
      </c>
      <c r="T1416">
        <v>0.8609377780019094</v>
      </c>
      <c r="U1416">
        <v>0</v>
      </c>
      <c r="V1416">
        <v>9.403854651183445E-2</v>
      </c>
      <c r="W1416">
        <v>4.8489525668569976E-2</v>
      </c>
      <c r="X1416">
        <v>7.1703027786873272E-3</v>
      </c>
      <c r="Y1416">
        <v>2.2404111442926966E-3</v>
      </c>
    </row>
    <row r="1417" spans="1:25" x14ac:dyDescent="0.25">
      <c r="A1417" s="1096"/>
      <c r="B1417" s="1455">
        <v>1167</v>
      </c>
      <c r="C1417" s="1100">
        <v>1.0011640781357085</v>
      </c>
      <c r="D1417" s="1100">
        <v>1.0307767669062033</v>
      </c>
      <c r="E1417" s="1100">
        <v>0.99064764205881239</v>
      </c>
      <c r="F1417" s="1100">
        <v>1.0255638938640737</v>
      </c>
      <c r="G1417" s="1100">
        <v>1.0099800445107208</v>
      </c>
      <c r="H1417" s="1100">
        <v>0.9598935104996803</v>
      </c>
      <c r="I1417" s="1100">
        <v>1.0146919321045498</v>
      </c>
      <c r="K1417">
        <v>1.1613498226397914</v>
      </c>
      <c r="L1417">
        <v>0</v>
      </c>
      <c r="M1417">
        <v>7.7335467290398803E-4</v>
      </c>
      <c r="N1417">
        <v>6.9175670707285544E-2</v>
      </c>
      <c r="O1417">
        <v>1.0209626722799738E-2</v>
      </c>
      <c r="P1417">
        <v>1.3713781703178416E-2</v>
      </c>
      <c r="Q1417">
        <v>4.3917565524921918E-4</v>
      </c>
      <c r="R1417">
        <v>7.7157031800995568E-4</v>
      </c>
      <c r="S1417">
        <v>7.1066238968679793E-2</v>
      </c>
      <c r="T1417">
        <v>0.84942711842213592</v>
      </c>
      <c r="U1417">
        <v>0</v>
      </c>
      <c r="V1417">
        <v>9.2492236044142043E-2</v>
      </c>
      <c r="W1417">
        <v>4.5697957367542306E-2</v>
      </c>
      <c r="X1417">
        <v>7.0298413461359647E-3</v>
      </c>
      <c r="Y1417">
        <v>2.0999600575361244E-3</v>
      </c>
    </row>
    <row r="1418" spans="1:25" x14ac:dyDescent="0.25">
      <c r="A1418" s="1096"/>
      <c r="B1418" s="1455">
        <v>1168</v>
      </c>
      <c r="C1418" s="1100">
        <v>1.0125495214205105</v>
      </c>
      <c r="D1418" s="1100">
        <v>1.0417020919881053</v>
      </c>
      <c r="E1418" s="1100">
        <v>0.99028328783102004</v>
      </c>
      <c r="F1418" s="1100">
        <v>0.9847830969129785</v>
      </c>
      <c r="G1418" s="1100">
        <v>1.0014008785283779</v>
      </c>
      <c r="H1418" s="1100">
        <v>1.0063159388366361</v>
      </c>
      <c r="I1418" s="1100">
        <v>0.99383457832048394</v>
      </c>
      <c r="K1418">
        <v>1.1290765612727658</v>
      </c>
      <c r="L1418">
        <v>0</v>
      </c>
      <c r="M1418">
        <v>7.9886827254929986E-4</v>
      </c>
      <c r="N1418">
        <v>7.1386775320020079E-2</v>
      </c>
      <c r="O1418">
        <v>1.0052226962463001E-2</v>
      </c>
      <c r="P1418">
        <v>1.3233792922166646E-2</v>
      </c>
      <c r="Q1418">
        <v>4.3224579832539922E-4</v>
      </c>
      <c r="R1418">
        <v>7.971100801440951E-4</v>
      </c>
      <c r="S1418">
        <v>7.0273107316579639E-2</v>
      </c>
      <c r="T1418">
        <v>0.81567413700604163</v>
      </c>
      <c r="U1418">
        <v>0</v>
      </c>
      <c r="V1418">
        <v>9.1847046109811023E-2</v>
      </c>
      <c r="W1418">
        <v>4.7168920017481734E-2</v>
      </c>
      <c r="X1418">
        <v>6.8405971413964218E-3</v>
      </c>
      <c r="Y1418">
        <v>2.1694708708849273E-3</v>
      </c>
    </row>
    <row r="1419" spans="1:25" x14ac:dyDescent="0.25">
      <c r="A1419" s="1096"/>
      <c r="B1419" s="1455">
        <v>1169</v>
      </c>
      <c r="C1419" s="1100">
        <v>1.0208834796304951</v>
      </c>
      <c r="D1419" s="1100">
        <v>0.9863515823966772</v>
      </c>
      <c r="E1419" s="1100">
        <v>1.0206404866003052</v>
      </c>
      <c r="F1419" s="1100">
        <v>1.030584833366349</v>
      </c>
      <c r="G1419" s="1100">
        <v>1.0273608671539665</v>
      </c>
      <c r="H1419" s="1100">
        <v>1.0122862506583645</v>
      </c>
      <c r="I1419" s="1100">
        <v>1.0188899650328007</v>
      </c>
      <c r="K1419">
        <v>1.1760307363203795</v>
      </c>
      <c r="L1419">
        <v>0</v>
      </c>
      <c r="M1419">
        <v>7.6488914699870774E-4</v>
      </c>
      <c r="N1419">
        <v>7.491389499391661E-2</v>
      </c>
      <c r="O1419">
        <v>1.0200097508798158E-2</v>
      </c>
      <c r="P1419">
        <v>1.4093292888542833E-2</v>
      </c>
      <c r="Q1419">
        <v>4.5215290459500593E-4</v>
      </c>
      <c r="R1419">
        <v>7.6321566618124421E-4</v>
      </c>
      <c r="S1419">
        <v>7.3764473415585535E-2</v>
      </c>
      <c r="T1419">
        <v>0.85154498345733398</v>
      </c>
      <c r="U1419">
        <v>0</v>
      </c>
      <c r="V1419">
        <v>9.2761190602507843E-2</v>
      </c>
      <c r="W1419">
        <v>4.8618122497282555E-2</v>
      </c>
      <c r="X1419">
        <v>7.6069800832638699E-3</v>
      </c>
      <c r="Y1419">
        <v>2.0772214493686072E-3</v>
      </c>
    </row>
    <row r="1420" spans="1:25" x14ac:dyDescent="0.25">
      <c r="A1420" s="1096"/>
      <c r="B1420" s="1455">
        <v>1170</v>
      </c>
      <c r="C1420" s="1100">
        <v>0.99464021734506924</v>
      </c>
      <c r="D1420" s="1100">
        <v>0.95908265241321622</v>
      </c>
      <c r="E1420" s="1100">
        <v>1.0156914866747653</v>
      </c>
      <c r="F1420" s="1100">
        <v>1.0279629918001973</v>
      </c>
      <c r="G1420" s="1100">
        <v>1.0265739781285075</v>
      </c>
      <c r="H1420" s="1100">
        <v>1.0103890570406113</v>
      </c>
      <c r="I1420" s="1100">
        <v>0.97363734269056468</v>
      </c>
      <c r="K1420">
        <v>1.1787804353006539</v>
      </c>
      <c r="L1420">
        <v>0</v>
      </c>
      <c r="M1420">
        <v>8.0063582196118006E-4</v>
      </c>
      <c r="N1420">
        <v>7.7252437658542963E-2</v>
      </c>
      <c r="O1420">
        <v>1.0585628407907251E-2</v>
      </c>
      <c r="P1420">
        <v>1.4019014620441552E-2</v>
      </c>
      <c r="Q1420">
        <v>4.669374957061633E-4</v>
      </c>
      <c r="R1420">
        <v>7.9888084281089851E-4</v>
      </c>
      <c r="S1420">
        <v>7.3314095543469376E-2</v>
      </c>
      <c r="T1420">
        <v>0.84971243976663446</v>
      </c>
      <c r="U1420">
        <v>0</v>
      </c>
      <c r="V1420">
        <v>9.3367547391677214E-2</v>
      </c>
      <c r="W1420">
        <v>5.0281390818391031E-2</v>
      </c>
      <c r="X1420">
        <v>7.6084082739012798E-3</v>
      </c>
      <c r="Y1420">
        <v>2.1742903031322096E-3</v>
      </c>
    </row>
    <row r="1421" spans="1:25" x14ac:dyDescent="0.25">
      <c r="A1421" s="1096"/>
      <c r="B1421" s="1455">
        <v>1171</v>
      </c>
      <c r="C1421" s="1100">
        <v>1.034494277468988</v>
      </c>
      <c r="D1421" s="1100">
        <v>0.98123140074287729</v>
      </c>
      <c r="E1421" s="1100">
        <v>0.98913023417161405</v>
      </c>
      <c r="F1421" s="1100">
        <v>0.9775688648235229</v>
      </c>
      <c r="G1421" s="1100">
        <v>1.0232612347342227</v>
      </c>
      <c r="H1421" s="1100">
        <v>1.0130536685971812</v>
      </c>
      <c r="I1421" s="1100">
        <v>0.99669016494130303</v>
      </c>
      <c r="K1421">
        <v>1.1256516806700219</v>
      </c>
      <c r="L1421">
        <v>0</v>
      </c>
      <c r="M1421">
        <v>8.0814141628807721E-4</v>
      </c>
      <c r="N1421">
        <v>7.196515473288638E-2</v>
      </c>
      <c r="O1421">
        <v>1.0076819723858347E-2</v>
      </c>
      <c r="P1421">
        <v>1.3163291017765637E-2</v>
      </c>
      <c r="Q1421">
        <v>4.3279849859873942E-4</v>
      </c>
      <c r="R1421">
        <v>8.0637464436621187E-4</v>
      </c>
      <c r="S1421">
        <v>7.1392290659909305E-2</v>
      </c>
      <c r="T1421">
        <v>0.80977374850555428</v>
      </c>
      <c r="U1421">
        <v>0</v>
      </c>
      <c r="V1421">
        <v>9.2262532322457583E-2</v>
      </c>
      <c r="W1421">
        <v>4.7583949943262531E-2</v>
      </c>
      <c r="X1421">
        <v>6.8081760770166179E-3</v>
      </c>
      <c r="Y1421">
        <v>2.1946859606347549E-3</v>
      </c>
    </row>
    <row r="1422" spans="1:25" x14ac:dyDescent="0.25">
      <c r="A1422" s="1096"/>
      <c r="B1422" s="1455">
        <v>1172</v>
      </c>
      <c r="C1422" s="1100">
        <v>0.98718522171264245</v>
      </c>
      <c r="D1422" s="1100">
        <v>0.95589523622616113</v>
      </c>
      <c r="E1422" s="1100">
        <v>1.0285795578923982</v>
      </c>
      <c r="F1422" s="1100">
        <v>0.97839975253561384</v>
      </c>
      <c r="G1422" s="1100">
        <v>0.98561900474827668</v>
      </c>
      <c r="H1422" s="1100">
        <v>0.98248956485495809</v>
      </c>
      <c r="I1422" s="1100">
        <v>0.99051116337987755</v>
      </c>
      <c r="K1422">
        <v>1.1345482723141336</v>
      </c>
      <c r="L1422">
        <v>0</v>
      </c>
      <c r="M1422">
        <v>7.6466346728028766E-4</v>
      </c>
      <c r="N1422">
        <v>7.6701415334511858E-2</v>
      </c>
      <c r="O1422">
        <v>1.0684145573158671E-2</v>
      </c>
      <c r="P1422">
        <v>1.3559775659622986E-2</v>
      </c>
      <c r="Q1422">
        <v>4.7735318552202821E-4</v>
      </c>
      <c r="R1422">
        <v>7.6293974230886338E-4</v>
      </c>
      <c r="S1422">
        <v>7.4132130455273781E-2</v>
      </c>
      <c r="T1422">
        <v>0.80791777571424817</v>
      </c>
      <c r="U1422">
        <v>0</v>
      </c>
      <c r="V1422">
        <v>9.1807546652229247E-2</v>
      </c>
      <c r="W1422">
        <v>4.9548358716796581E-2</v>
      </c>
      <c r="X1422">
        <v>7.6450242721948485E-3</v>
      </c>
      <c r="Y1422">
        <v>2.0764704755462664E-3</v>
      </c>
    </row>
    <row r="1423" spans="1:25" x14ac:dyDescent="0.25">
      <c r="A1423" s="1096"/>
      <c r="B1423" s="1455">
        <v>1173</v>
      </c>
      <c r="C1423" s="1100">
        <v>1.0165414673390469</v>
      </c>
      <c r="D1423" s="1100">
        <v>1.0129430859120567</v>
      </c>
      <c r="E1423" s="1100">
        <v>1.0061469902796105</v>
      </c>
      <c r="F1423" s="1100">
        <v>1.0076003138509089</v>
      </c>
      <c r="G1423" s="1100">
        <v>1.0241732956590672</v>
      </c>
      <c r="H1423" s="1100">
        <v>1.0205358252512597</v>
      </c>
      <c r="I1423" s="1100">
        <v>1.0205202481258364</v>
      </c>
      <c r="K1423">
        <v>1.1558939362425484</v>
      </c>
      <c r="L1423">
        <v>0</v>
      </c>
      <c r="M1423">
        <v>7.8965368690133754E-4</v>
      </c>
      <c r="N1423">
        <v>7.4030393281318038E-2</v>
      </c>
      <c r="O1423">
        <v>1.0130588862152203E-2</v>
      </c>
      <c r="P1423">
        <v>1.369250828177713E-2</v>
      </c>
      <c r="Q1423">
        <v>4.4262431236539789E-4</v>
      </c>
      <c r="R1423">
        <v>7.8793999008316018E-4</v>
      </c>
      <c r="S1423">
        <v>7.3511303640783759E-2</v>
      </c>
      <c r="T1423">
        <v>0.83351397655662784</v>
      </c>
      <c r="U1423">
        <v>0</v>
      </c>
      <c r="V1423">
        <v>9.2726678824785469E-2</v>
      </c>
      <c r="W1423">
        <v>4.8456011489717385E-2</v>
      </c>
      <c r="X1423">
        <v>7.2470517811807191E-3</v>
      </c>
      <c r="Y1423">
        <v>2.1445129086584388E-3</v>
      </c>
    </row>
    <row r="1424" spans="1:25" x14ac:dyDescent="0.25">
      <c r="A1424" s="1096"/>
      <c r="B1424" s="1455">
        <v>1174</v>
      </c>
      <c r="C1424" s="1100">
        <v>1.0201173668912049</v>
      </c>
      <c r="D1424" s="1100">
        <v>0.97977718456292884</v>
      </c>
      <c r="E1424" s="1100">
        <v>1.0127586485144611</v>
      </c>
      <c r="F1424" s="1100">
        <v>1.0081239963569268</v>
      </c>
      <c r="G1424" s="1100">
        <v>0.97458428608518155</v>
      </c>
      <c r="H1424" s="1100">
        <v>1.005110330296626</v>
      </c>
      <c r="I1424" s="1100">
        <v>0.99070376850989805</v>
      </c>
      <c r="K1424">
        <v>1.152002646081359</v>
      </c>
      <c r="L1424">
        <v>0</v>
      </c>
      <c r="M1424">
        <v>7.7466749896373105E-4</v>
      </c>
      <c r="N1424">
        <v>7.4087228311806475E-2</v>
      </c>
      <c r="O1424">
        <v>1.0232544749438589E-2</v>
      </c>
      <c r="P1424">
        <v>1.3704724895750696E-2</v>
      </c>
      <c r="Q1424">
        <v>4.5004450797442021E-4</v>
      </c>
      <c r="R1424">
        <v>7.7296052389958306E-4</v>
      </c>
      <c r="S1424">
        <v>7.1729347271370411E-2</v>
      </c>
      <c r="T1424">
        <v>0.83350794276968987</v>
      </c>
      <c r="U1424">
        <v>0</v>
      </c>
      <c r="V1424">
        <v>9.0522408041884481E-2</v>
      </c>
      <c r="W1424">
        <v>4.8304436725707479E-2</v>
      </c>
      <c r="X1424">
        <v>7.3619320431128664E-3</v>
      </c>
      <c r="Y1424">
        <v>2.1037437396864422E-3</v>
      </c>
    </row>
    <row r="1425" spans="1:25" x14ac:dyDescent="0.25">
      <c r="A1425" s="1096"/>
      <c r="B1425" s="1455">
        <v>1175</v>
      </c>
      <c r="C1425" s="1100">
        <v>0.98610099912660842</v>
      </c>
      <c r="D1425" s="1100">
        <v>0.97248223148495871</v>
      </c>
      <c r="E1425" s="1100">
        <v>0.97203697454618254</v>
      </c>
      <c r="F1425" s="1100">
        <v>1.0309826765186614</v>
      </c>
      <c r="G1425" s="1100">
        <v>0.99982544384664995</v>
      </c>
      <c r="H1425" s="1100">
        <v>1.0162565569425754</v>
      </c>
      <c r="I1425" s="1100">
        <v>0.9837165996031938</v>
      </c>
      <c r="K1425">
        <v>1.1806685384815585</v>
      </c>
      <c r="L1425">
        <v>0</v>
      </c>
      <c r="M1425">
        <v>8.8424473918967037E-4</v>
      </c>
      <c r="N1425">
        <v>7.4773951332819527E-2</v>
      </c>
      <c r="O1425">
        <v>1.0603565066384057E-2</v>
      </c>
      <c r="P1425">
        <v>1.3641686497092189E-2</v>
      </c>
      <c r="Q1425">
        <v>4.4758067975889408E-4</v>
      </c>
      <c r="R1425">
        <v>8.8231768156359568E-4</v>
      </c>
      <c r="S1425">
        <v>7.4372501091697976E-2</v>
      </c>
      <c r="T1425">
        <v>0.85519712054332664</v>
      </c>
      <c r="U1425">
        <v>0</v>
      </c>
      <c r="V1425">
        <v>9.2433494807324601E-2</v>
      </c>
      <c r="W1425">
        <v>4.9953855707282988E-2</v>
      </c>
      <c r="X1425">
        <v>6.8453319402264857E-3</v>
      </c>
      <c r="Y1425">
        <v>2.4013778732705497E-3</v>
      </c>
    </row>
    <row r="1426" spans="1:25" x14ac:dyDescent="0.25">
      <c r="A1426" s="1096"/>
      <c r="B1426" s="1455">
        <v>1176</v>
      </c>
      <c r="C1426" s="1100">
        <v>0.98587837934130929</v>
      </c>
      <c r="D1426" s="1100">
        <v>0.98246135438026383</v>
      </c>
      <c r="E1426" s="1100">
        <v>0.96820491165742251</v>
      </c>
      <c r="F1426" s="1100">
        <v>1.0309991482294618</v>
      </c>
      <c r="G1426" s="1100">
        <v>0.97717217213065477</v>
      </c>
      <c r="H1426" s="1100">
        <v>0.96879971225592809</v>
      </c>
      <c r="I1426" s="1100">
        <v>1.0024619237657375</v>
      </c>
      <c r="K1426">
        <v>1.17212105735063</v>
      </c>
      <c r="L1426">
        <v>0</v>
      </c>
      <c r="M1426">
        <v>8.463763055612764E-4</v>
      </c>
      <c r="N1426">
        <v>7.0738488928564977E-2</v>
      </c>
      <c r="O1426">
        <v>1.0561461385661757E-2</v>
      </c>
      <c r="P1426">
        <v>1.3579952591822935E-2</v>
      </c>
      <c r="Q1426">
        <v>4.4406093693206977E-4</v>
      </c>
      <c r="R1426">
        <v>8.4444142093705651E-4</v>
      </c>
      <c r="S1426">
        <v>7.3430137490193503E-2</v>
      </c>
      <c r="T1426">
        <v>0.85547616800311255</v>
      </c>
      <c r="U1426">
        <v>0</v>
      </c>
      <c r="V1426">
        <v>9.1469690263151576E-2</v>
      </c>
      <c r="W1426">
        <v>4.73682434117257E-2</v>
      </c>
      <c r="X1426">
        <v>6.7564980463366746E-3</v>
      </c>
      <c r="Y1426">
        <v>2.29829117775107E-3</v>
      </c>
    </row>
    <row r="1427" spans="1:25" x14ac:dyDescent="0.25">
      <c r="A1427" s="1096"/>
      <c r="B1427" s="1455">
        <v>1177</v>
      </c>
      <c r="C1427" s="1100">
        <v>0.95144071696034227</v>
      </c>
      <c r="D1427" s="1100">
        <v>0.98450964113766026</v>
      </c>
      <c r="E1427" s="1100">
        <v>0.98646017009798803</v>
      </c>
      <c r="F1427" s="1100">
        <v>0.99365852348701234</v>
      </c>
      <c r="G1427" s="1100">
        <v>1.0109346776422294</v>
      </c>
      <c r="H1427" s="1100">
        <v>0.97621915705715046</v>
      </c>
      <c r="I1427" s="1100">
        <v>1.0011212351201955</v>
      </c>
      <c r="K1427">
        <v>1.1523477597587257</v>
      </c>
      <c r="L1427">
        <v>0</v>
      </c>
      <c r="M1427">
        <v>8.5029562308230032E-4</v>
      </c>
      <c r="N1427">
        <v>7.5103886367198974E-2</v>
      </c>
      <c r="O1427">
        <v>1.0940919398847462E-2</v>
      </c>
      <c r="P1427">
        <v>1.3405691298096071E-2</v>
      </c>
      <c r="Q1427">
        <v>4.6864346116547124E-4</v>
      </c>
      <c r="R1427">
        <v>8.483665521565783E-4</v>
      </c>
      <c r="S1427">
        <v>7.6246423587569015E-2</v>
      </c>
      <c r="T1427">
        <v>0.82327839092487121</v>
      </c>
      <c r="U1427">
        <v>0</v>
      </c>
      <c r="V1427">
        <v>9.3825893919901565E-2</v>
      </c>
      <c r="W1427">
        <v>4.9738939097957027E-2</v>
      </c>
      <c r="X1427">
        <v>7.0319266830322748E-3</v>
      </c>
      <c r="Y1427">
        <v>2.3089740910114485E-3</v>
      </c>
    </row>
    <row r="1428" spans="1:25" x14ac:dyDescent="0.25">
      <c r="A1428" s="1096"/>
      <c r="B1428" s="1455">
        <v>1178</v>
      </c>
      <c r="C1428" s="1100">
        <v>1.0102155160135224</v>
      </c>
      <c r="D1428" s="1100">
        <v>1.0014671002405213</v>
      </c>
      <c r="E1428" s="1100">
        <v>1.0046881923092823</v>
      </c>
      <c r="F1428" s="1100">
        <v>1.0022277002472921</v>
      </c>
      <c r="G1428" s="1100">
        <v>0.96742963651330127</v>
      </c>
      <c r="H1428" s="1100">
        <v>1.0142015392994927</v>
      </c>
      <c r="I1428" s="1100">
        <v>0.9855510304195596</v>
      </c>
      <c r="K1428">
        <v>1.1477509983195755</v>
      </c>
      <c r="L1428">
        <v>0</v>
      </c>
      <c r="M1428">
        <v>7.9567984866846123E-4</v>
      </c>
      <c r="N1428">
        <v>7.4266426226249502E-2</v>
      </c>
      <c r="O1428">
        <v>1.024012005950372E-2</v>
      </c>
      <c r="P1428">
        <v>1.3560927623055129E-2</v>
      </c>
      <c r="Q1428">
        <v>4.4675631414194702E-4</v>
      </c>
      <c r="R1428">
        <v>7.9394228922221915E-4</v>
      </c>
      <c r="S1428">
        <v>7.160178747956697E-2</v>
      </c>
      <c r="T1428">
        <v>0.82916614455579918</v>
      </c>
      <c r="U1428">
        <v>0</v>
      </c>
      <c r="V1428">
        <v>9.0453358941130324E-2</v>
      </c>
      <c r="W1428">
        <v>4.8652490083914236E-2</v>
      </c>
      <c r="X1428">
        <v>7.2038754074034645E-3</v>
      </c>
      <c r="Y1428">
        <v>2.1608491882575782E-3</v>
      </c>
    </row>
    <row r="1429" spans="1:25" x14ac:dyDescent="0.25">
      <c r="A1429" s="1096"/>
      <c r="B1429" s="1455">
        <v>1179</v>
      </c>
      <c r="C1429" s="1100">
        <v>0.99016640321650107</v>
      </c>
      <c r="D1429" s="1100">
        <v>0.99707416127541848</v>
      </c>
      <c r="E1429" s="1100">
        <v>0.97830344925264889</v>
      </c>
      <c r="F1429" s="1100">
        <v>1.0488854622191641</v>
      </c>
      <c r="G1429" s="1100">
        <v>0.97278964525145117</v>
      </c>
      <c r="H1429" s="1100">
        <v>1.0057365807727408</v>
      </c>
      <c r="I1429" s="1100">
        <v>0.99767128547012018</v>
      </c>
      <c r="K1429">
        <v>1.1908449055527006</v>
      </c>
      <c r="L1429">
        <v>0</v>
      </c>
      <c r="M1429">
        <v>8.5173629694345991E-4</v>
      </c>
      <c r="N1429">
        <v>7.3402411205963775E-2</v>
      </c>
      <c r="O1429">
        <v>1.0457132080833145E-2</v>
      </c>
      <c r="P1429">
        <v>1.3874959243189745E-2</v>
      </c>
      <c r="Q1429">
        <v>4.4422765551175431E-4</v>
      </c>
      <c r="R1429">
        <v>8.4986066989768813E-4</v>
      </c>
      <c r="S1429">
        <v>7.3737998642692884E-2</v>
      </c>
      <c r="T1429">
        <v>0.86960699654395646</v>
      </c>
      <c r="U1429">
        <v>0</v>
      </c>
      <c r="V1429">
        <v>9.1174939293965584E-2</v>
      </c>
      <c r="W1429">
        <v>4.8851668314098505E-2</v>
      </c>
      <c r="X1429">
        <v>6.983407612565648E-3</v>
      </c>
      <c r="Y1429">
        <v>2.3130405869669691E-3</v>
      </c>
    </row>
    <row r="1430" spans="1:25" x14ac:dyDescent="0.25">
      <c r="A1430" s="1096"/>
      <c r="B1430" s="1455">
        <v>1180</v>
      </c>
      <c r="C1430" s="1100">
        <v>0.99878368698673947</v>
      </c>
      <c r="D1430" s="1100">
        <v>0.98946177724281992</v>
      </c>
      <c r="E1430" s="1100">
        <v>1.0123853103766669</v>
      </c>
      <c r="F1430" s="1100">
        <v>0.99264319133513834</v>
      </c>
      <c r="G1430" s="1100">
        <v>0.96428869985251775</v>
      </c>
      <c r="H1430" s="1100">
        <v>0.99724626138711847</v>
      </c>
      <c r="I1430" s="1100">
        <v>1.0003574902692127</v>
      </c>
      <c r="K1430">
        <v>1.1420013162838589</v>
      </c>
      <c r="L1430">
        <v>0</v>
      </c>
      <c r="M1430">
        <v>7.8254804877874362E-4</v>
      </c>
      <c r="N1430">
        <v>7.4755311892469006E-2</v>
      </c>
      <c r="O1430">
        <v>1.0409947463891104E-2</v>
      </c>
      <c r="P1430">
        <v>1.3547652616106019E-2</v>
      </c>
      <c r="Q1430">
        <v>4.5767638148819326E-4</v>
      </c>
      <c r="R1430">
        <v>7.8081011119982479E-4</v>
      </c>
      <c r="S1430">
        <v>7.3280394387506109E-2</v>
      </c>
      <c r="T1430">
        <v>0.82073293500444833</v>
      </c>
      <c r="U1430">
        <v>0</v>
      </c>
      <c r="V1430">
        <v>9.0601276275337025E-2</v>
      </c>
      <c r="W1430">
        <v>4.8750732794839192E-2</v>
      </c>
      <c r="X1430">
        <v>7.3420196766505984E-3</v>
      </c>
      <c r="Y1430">
        <v>2.1251077287019432E-3</v>
      </c>
    </row>
    <row r="1431" spans="1:25" x14ac:dyDescent="0.25">
      <c r="A1431" s="1096"/>
      <c r="B1431" s="1455">
        <v>1181</v>
      </c>
      <c r="C1431" s="1100">
        <v>1.024878790701929</v>
      </c>
      <c r="D1431" s="1100">
        <v>1.0226775750911279</v>
      </c>
      <c r="E1431" s="1100">
        <v>1.0195454879586692</v>
      </c>
      <c r="F1431" s="1100">
        <v>1.0085988478443335</v>
      </c>
      <c r="G1431" s="1100">
        <v>0.9949985615018313</v>
      </c>
      <c r="H1431" s="1100">
        <v>1.0399092201879734</v>
      </c>
      <c r="I1431" s="1100">
        <v>0.9939838590920107</v>
      </c>
      <c r="K1431">
        <v>1.1544699482673337</v>
      </c>
      <c r="L1431">
        <v>0</v>
      </c>
      <c r="M1431">
        <v>7.7321619501874612E-4</v>
      </c>
      <c r="N1431">
        <v>7.5484101104539153E-2</v>
      </c>
      <c r="O1431">
        <v>1.001405846520431E-2</v>
      </c>
      <c r="P1431">
        <v>1.3779155205471683E-2</v>
      </c>
      <c r="Q1431">
        <v>4.4342316898578844E-4</v>
      </c>
      <c r="R1431">
        <v>7.7156943205573337E-4</v>
      </c>
      <c r="S1431">
        <v>7.144384365700672E-2</v>
      </c>
      <c r="T1431">
        <v>0.83345094364594374</v>
      </c>
      <c r="U1431">
        <v>0</v>
      </c>
      <c r="V1431">
        <v>9.1283183300931284E-2</v>
      </c>
      <c r="W1431">
        <v>4.9019569857182616E-2</v>
      </c>
      <c r="X1431">
        <v>7.4533589787697451E-3</v>
      </c>
      <c r="Y1431">
        <v>2.0999576462607866E-3</v>
      </c>
    </row>
    <row r="1432" spans="1:25" x14ac:dyDescent="0.25">
      <c r="A1432" s="1096"/>
      <c r="B1432" s="1455">
        <v>1182</v>
      </c>
      <c r="C1432" s="1100">
        <v>0.99636150344033925</v>
      </c>
      <c r="D1432" s="1100">
        <v>0.98419459090894756</v>
      </c>
      <c r="E1432" s="1100">
        <v>0.98170168506187028</v>
      </c>
      <c r="F1432" s="1100">
        <v>0.98131684026164612</v>
      </c>
      <c r="G1432" s="1100">
        <v>0.96492990567428094</v>
      </c>
      <c r="H1432" s="1100">
        <v>0.98589603111928881</v>
      </c>
      <c r="I1432" s="1100">
        <v>0.99387765664579186</v>
      </c>
      <c r="K1432">
        <v>1.1297776251442591</v>
      </c>
      <c r="L1432">
        <v>0</v>
      </c>
      <c r="M1432">
        <v>8.2822847579911059E-4</v>
      </c>
      <c r="N1432">
        <v>7.2110982780046351E-2</v>
      </c>
      <c r="O1432">
        <v>1.0447418435097071E-2</v>
      </c>
      <c r="P1432">
        <v>1.3133918563987653E-2</v>
      </c>
      <c r="Q1432">
        <v>4.4535057948515762E-4</v>
      </c>
      <c r="R1432">
        <v>8.2636791178116169E-4</v>
      </c>
      <c r="S1432">
        <v>7.2683550289131912E-2</v>
      </c>
      <c r="T1432">
        <v>0.81336445992409179</v>
      </c>
      <c r="U1432">
        <v>0</v>
      </c>
      <c r="V1432">
        <v>9.0683766077407135E-2</v>
      </c>
      <c r="W1432">
        <v>4.7893805442394834E-2</v>
      </c>
      <c r="X1432">
        <v>6.7671325728750429E-3</v>
      </c>
      <c r="Y1432">
        <v>2.2491010437594165E-3</v>
      </c>
    </row>
    <row r="1433" spans="1:25" x14ac:dyDescent="0.25">
      <c r="A1433" s="1096"/>
      <c r="B1433" s="1455">
        <v>1183</v>
      </c>
      <c r="C1433" s="1100">
        <v>1.0041286188281107</v>
      </c>
      <c r="D1433" s="1100">
        <v>0.96166316038903499</v>
      </c>
      <c r="E1433" s="1100">
        <v>1.03103296976001</v>
      </c>
      <c r="F1433" s="1100">
        <v>1.0101503359633446</v>
      </c>
      <c r="G1433" s="1100">
        <v>0.96956680351510449</v>
      </c>
      <c r="H1433" s="1100">
        <v>1.0110116589843077</v>
      </c>
      <c r="I1433" s="1100">
        <v>1.0236205764727371</v>
      </c>
      <c r="K1433">
        <v>1.1633904788085077</v>
      </c>
      <c r="L1433">
        <v>0</v>
      </c>
      <c r="M1433">
        <v>7.6779022078740525E-4</v>
      </c>
      <c r="N1433">
        <v>7.7591719376744389E-2</v>
      </c>
      <c r="O1433">
        <v>1.0479434332691316E-2</v>
      </c>
      <c r="P1433">
        <v>1.3962015066791978E-2</v>
      </c>
      <c r="Q1433">
        <v>4.6934418157674053E-4</v>
      </c>
      <c r="R1433">
        <v>7.6610827501244179E-4</v>
      </c>
      <c r="S1433">
        <v>7.6289293725461629E-2</v>
      </c>
      <c r="T1433">
        <v>0.83397427351057751</v>
      </c>
      <c r="U1433">
        <v>0</v>
      </c>
      <c r="V1433">
        <v>9.0698217942234538E-2</v>
      </c>
      <c r="W1433">
        <v>5.0052143157475616E-2</v>
      </c>
      <c r="X1433">
        <v>7.7906252836692502E-3</v>
      </c>
      <c r="Y1433">
        <v>2.0850941770588823E-3</v>
      </c>
    </row>
    <row r="1434" spans="1:25" x14ac:dyDescent="0.25">
      <c r="A1434" s="1096"/>
      <c r="B1434" s="1455">
        <v>1184</v>
      </c>
      <c r="C1434" s="1100">
        <v>0.99676130644142769</v>
      </c>
      <c r="D1434" s="1100">
        <v>1.0023882897877074</v>
      </c>
      <c r="E1434" s="1100">
        <v>0.99614041332524306</v>
      </c>
      <c r="F1434" s="1100">
        <v>0.9742166764940049</v>
      </c>
      <c r="G1434" s="1100">
        <v>0.99922957282103297</v>
      </c>
      <c r="H1434" s="1100">
        <v>1.0082264286123133</v>
      </c>
      <c r="I1434" s="1100">
        <v>1.0273293859839632</v>
      </c>
      <c r="K1434">
        <v>1.1303546269849771</v>
      </c>
      <c r="L1434">
        <v>0</v>
      </c>
      <c r="M1434">
        <v>8.157106965059151E-4</v>
      </c>
      <c r="N1434">
        <v>7.4194124625936761E-2</v>
      </c>
      <c r="O1434">
        <v>1.037172004376298E-2</v>
      </c>
      <c r="P1434">
        <v>1.3241143246892902E-2</v>
      </c>
      <c r="Q1434">
        <v>4.486274126567703E-4</v>
      </c>
      <c r="R1434">
        <v>8.1391883822626635E-4</v>
      </c>
      <c r="S1434">
        <v>7.534815539105276E-2</v>
      </c>
      <c r="T1434">
        <v>0.80654317801000874</v>
      </c>
      <c r="U1434">
        <v>0</v>
      </c>
      <c r="V1434">
        <v>9.2142678624199129E-2</v>
      </c>
      <c r="W1434">
        <v>4.8852602654402937E-2</v>
      </c>
      <c r="X1434">
        <v>6.9989700649649694E-3</v>
      </c>
      <c r="Y1434">
        <v>2.2152187693789851E-3</v>
      </c>
    </row>
    <row r="1435" spans="1:25" x14ac:dyDescent="0.25">
      <c r="A1435" s="1096"/>
      <c r="B1435" s="1455">
        <v>1185</v>
      </c>
      <c r="C1435" s="1100">
        <v>0.98567910377315171</v>
      </c>
      <c r="D1435" s="1100">
        <v>0.97869438966324662</v>
      </c>
      <c r="E1435" s="1100">
        <v>1.0312588134245935</v>
      </c>
      <c r="F1435" s="1100">
        <v>1.008949893985692</v>
      </c>
      <c r="G1435" s="1100">
        <v>0.97589876515116092</v>
      </c>
      <c r="H1435" s="1100">
        <v>1.0014456740882822</v>
      </c>
      <c r="I1435" s="1100">
        <v>0.97938909537916485</v>
      </c>
      <c r="K1435">
        <v>1.1605056549230126</v>
      </c>
      <c r="L1435">
        <v>0</v>
      </c>
      <c r="M1435">
        <v>7.6897733144231913E-4</v>
      </c>
      <c r="N1435">
        <v>7.7762977574403577E-2</v>
      </c>
      <c r="O1435">
        <v>1.0600957701622228E-2</v>
      </c>
      <c r="P1435">
        <v>1.3918789511776839E-2</v>
      </c>
      <c r="Q1435">
        <v>4.7489282958626457E-4</v>
      </c>
      <c r="R1435">
        <v>7.6727669406287033E-4</v>
      </c>
      <c r="S1435">
        <v>7.3301805437010856E-2</v>
      </c>
      <c r="T1435">
        <v>0.83296833983566165</v>
      </c>
      <c r="U1435">
        <v>0</v>
      </c>
      <c r="V1435">
        <v>9.1431048786491359E-2</v>
      </c>
      <c r="W1435">
        <v>5.0156046983218544E-2</v>
      </c>
      <c r="X1435">
        <v>7.8042226720766803E-3</v>
      </c>
      <c r="Y1435">
        <v>2.0882742285449119E-3</v>
      </c>
    </row>
    <row r="1436" spans="1:25" x14ac:dyDescent="0.25">
      <c r="A1436" s="1096"/>
      <c r="B1436" s="1455">
        <v>1186</v>
      </c>
      <c r="C1436" s="1100">
        <v>0.99944805640085987</v>
      </c>
      <c r="D1436" s="1100">
        <v>1.0054650528350499</v>
      </c>
      <c r="E1436" s="1100">
        <v>0.97176483070987352</v>
      </c>
      <c r="F1436" s="1100">
        <v>0.99704200535659926</v>
      </c>
      <c r="G1436" s="1100">
        <v>1.0275549768548986</v>
      </c>
      <c r="H1436" s="1100">
        <v>1.0311657961893232</v>
      </c>
      <c r="I1436" s="1100">
        <v>1.0000749928246766</v>
      </c>
      <c r="K1436">
        <v>1.1505361405306631</v>
      </c>
      <c r="L1436">
        <v>0</v>
      </c>
      <c r="M1436">
        <v>8.7399459512833312E-4</v>
      </c>
      <c r="N1436">
        <v>7.384863798874422E-2</v>
      </c>
      <c r="O1436">
        <v>1.0323221134834248E-2</v>
      </c>
      <c r="P1436">
        <v>1.3269016515079855E-2</v>
      </c>
      <c r="Q1436">
        <v>4.3562619275236549E-4</v>
      </c>
      <c r="R1436">
        <v>8.7211741552894139E-4</v>
      </c>
      <c r="S1436">
        <v>7.3939928097376137E-2</v>
      </c>
      <c r="T1436">
        <v>0.82706164349048061</v>
      </c>
      <c r="U1436">
        <v>0</v>
      </c>
      <c r="V1436">
        <v>9.3284026038243789E-2</v>
      </c>
      <c r="W1436">
        <v>4.9343846403540982E-2</v>
      </c>
      <c r="X1436">
        <v>6.6584557375693769E-3</v>
      </c>
      <c r="Y1436">
        <v>2.3736161116410157E-3</v>
      </c>
    </row>
    <row r="1437" spans="1:25" x14ac:dyDescent="0.25">
      <c r="A1437" s="1096"/>
      <c r="B1437" s="1455">
        <v>1187</v>
      </c>
      <c r="C1437" s="1100">
        <v>0.9761893066776931</v>
      </c>
      <c r="D1437" s="1100">
        <v>1.0060537292271678</v>
      </c>
      <c r="E1437" s="1100">
        <v>0.97621235769017722</v>
      </c>
      <c r="F1437" s="1100">
        <v>1.0143884949968758</v>
      </c>
      <c r="G1437" s="1100">
        <v>1.0246574534405712</v>
      </c>
      <c r="H1437" s="1100">
        <v>1.0016763889920481</v>
      </c>
      <c r="I1437" s="1100">
        <v>0.95870627816349352</v>
      </c>
      <c r="K1437">
        <v>1.1628190342306626</v>
      </c>
      <c r="L1437">
        <v>0</v>
      </c>
      <c r="M1437">
        <v>8.6107709127588444E-4</v>
      </c>
      <c r="N1437">
        <v>7.3738621589385184E-2</v>
      </c>
      <c r="O1437">
        <v>1.0568190001364788E-2</v>
      </c>
      <c r="P1437">
        <v>1.3474744533575384E-2</v>
      </c>
      <c r="Q1437">
        <v>4.4799086674056474E-4</v>
      </c>
      <c r="R1437">
        <v>8.5917320862640854E-4</v>
      </c>
      <c r="S1437">
        <v>7.1378696916905612E-2</v>
      </c>
      <c r="T1437">
        <v>0.84114834166438579</v>
      </c>
      <c r="U1437">
        <v>0</v>
      </c>
      <c r="V1437">
        <v>9.3751172374645239E-2</v>
      </c>
      <c r="W1437">
        <v>4.9137566415108649E-2</v>
      </c>
      <c r="X1437">
        <v>6.8372275036903797E-3</v>
      </c>
      <c r="Y1437">
        <v>2.338386247508979E-3</v>
      </c>
    </row>
    <row r="1438" spans="1:25" x14ac:dyDescent="0.25">
      <c r="A1438" s="1096"/>
      <c r="B1438" s="1455">
        <v>1188</v>
      </c>
      <c r="C1438" s="1100">
        <v>0.98745127090085116</v>
      </c>
      <c r="D1438" s="1100">
        <v>1.0245155238862587</v>
      </c>
      <c r="E1438" s="1100">
        <v>0.98430334152365817</v>
      </c>
      <c r="F1438" s="1100">
        <v>0.97660899461641604</v>
      </c>
      <c r="G1438" s="1100">
        <v>0.99211659808560182</v>
      </c>
      <c r="H1438" s="1100">
        <v>1.0083542099503335</v>
      </c>
      <c r="I1438" s="1100">
        <v>1.0449842413613422</v>
      </c>
      <c r="K1438">
        <v>1.1330376073661541</v>
      </c>
      <c r="L1438">
        <v>0</v>
      </c>
      <c r="M1438">
        <v>8.3660588715609677E-4</v>
      </c>
      <c r="N1438">
        <v>7.3419571131299183E-2</v>
      </c>
      <c r="O1438">
        <v>1.0374588567885031E-2</v>
      </c>
      <c r="P1438">
        <v>1.317512967358395E-2</v>
      </c>
      <c r="Q1438">
        <v>4.4341503197941576E-4</v>
      </c>
      <c r="R1438">
        <v>8.3476836164024081E-4</v>
      </c>
      <c r="S1438">
        <v>7.64956695133273E-2</v>
      </c>
      <c r="T1438">
        <v>0.80929275101831089</v>
      </c>
      <c r="U1438">
        <v>0</v>
      </c>
      <c r="V1438">
        <v>9.2071168033722312E-2</v>
      </c>
      <c r="W1438">
        <v>4.8686566113306927E-2</v>
      </c>
      <c r="X1438">
        <v>6.8086215091858904E-3</v>
      </c>
      <c r="Y1438">
        <v>2.271964299068278E-3</v>
      </c>
    </row>
    <row r="1439" spans="1:25" x14ac:dyDescent="0.25">
      <c r="A1439" s="1096"/>
      <c r="B1439" s="1455">
        <v>1189</v>
      </c>
      <c r="C1439" s="1100">
        <v>0.99252677090894592</v>
      </c>
      <c r="D1439" s="1100">
        <v>1.0190198772158792</v>
      </c>
      <c r="E1439" s="1100">
        <v>0.97437069323607517</v>
      </c>
      <c r="F1439" s="1100">
        <v>1.0050973936815837</v>
      </c>
      <c r="G1439" s="1100">
        <v>0.96737516074241048</v>
      </c>
      <c r="H1439" s="1100">
        <v>0.98793657719869277</v>
      </c>
      <c r="I1439" s="1100">
        <v>1.0214007857192793</v>
      </c>
      <c r="K1439">
        <v>1.1497177026002399</v>
      </c>
      <c r="L1439">
        <v>0</v>
      </c>
      <c r="M1439">
        <v>8.3418717003668353E-4</v>
      </c>
      <c r="N1439">
        <v>7.1036616107118492E-2</v>
      </c>
      <c r="O1439">
        <v>1.0340525824162901E-2</v>
      </c>
      <c r="P1439">
        <v>1.334758658471745E-2</v>
      </c>
      <c r="Q1439">
        <v>4.3751817289988079E-4</v>
      </c>
      <c r="R1439">
        <v>8.323170907542643E-4</v>
      </c>
      <c r="S1439">
        <v>7.373220366093132E-2</v>
      </c>
      <c r="T1439">
        <v>0.83356802949801523</v>
      </c>
      <c r="U1439">
        <v>0</v>
      </c>
      <c r="V1439">
        <v>9.0883264311393056E-2</v>
      </c>
      <c r="W1439">
        <v>4.738988487156201E-2</v>
      </c>
      <c r="X1439">
        <v>6.7186509009443847E-3</v>
      </c>
      <c r="Y1439">
        <v>2.2652927477778799E-3</v>
      </c>
    </row>
    <row r="1440" spans="1:25" x14ac:dyDescent="0.25">
      <c r="A1440" s="1096"/>
      <c r="B1440" s="1455">
        <v>1190</v>
      </c>
      <c r="C1440" s="1100">
        <v>0.99549739563945627</v>
      </c>
      <c r="D1440" s="1100">
        <v>0.99785693880071313</v>
      </c>
      <c r="E1440" s="1100">
        <v>1.002721229865394</v>
      </c>
      <c r="F1440" s="1100">
        <v>0.98791690152460676</v>
      </c>
      <c r="G1440" s="1100">
        <v>1.012414245215489</v>
      </c>
      <c r="H1440" s="1100">
        <v>0.97987402216000341</v>
      </c>
      <c r="I1440" s="1100">
        <v>0.97947903653921475</v>
      </c>
      <c r="K1440">
        <v>1.135207165735326</v>
      </c>
      <c r="L1440">
        <v>0</v>
      </c>
      <c r="M1440">
        <v>7.8443792136405289E-4</v>
      </c>
      <c r="N1440">
        <v>7.2777863892364084E-2</v>
      </c>
      <c r="O1440">
        <v>1.0405891390613237E-2</v>
      </c>
      <c r="P1440">
        <v>1.3403718167275699E-2</v>
      </c>
      <c r="Q1440">
        <v>4.5309370884966289E-4</v>
      </c>
      <c r="R1440">
        <v>7.8266490022308973E-4</v>
      </c>
      <c r="S1440">
        <v>7.096887203879855E-2</v>
      </c>
      <c r="T1440">
        <v>0.81745490553501932</v>
      </c>
      <c r="U1440">
        <v>0</v>
      </c>
      <c r="V1440">
        <v>9.273890330759027E-2</v>
      </c>
      <c r="W1440">
        <v>4.7732928874869955E-2</v>
      </c>
      <c r="X1440">
        <v>7.142605988093036E-3</v>
      </c>
      <c r="Y1440">
        <v>2.1301558529922319E-3</v>
      </c>
    </row>
    <row r="1441" spans="1:25" x14ac:dyDescent="0.25">
      <c r="A1441" s="1096"/>
      <c r="B1441" s="1455">
        <v>1191</v>
      </c>
      <c r="C1441" s="1100">
        <v>0.98743827390919947</v>
      </c>
      <c r="D1441" s="1100">
        <v>1.0061463212784609</v>
      </c>
      <c r="E1441" s="1100">
        <v>0.96581337147433011</v>
      </c>
      <c r="F1441" s="1100">
        <v>1.0109287578455957</v>
      </c>
      <c r="G1441" s="1100">
        <v>0.97785617836129446</v>
      </c>
      <c r="H1441" s="1100">
        <v>1.0088215910540927</v>
      </c>
      <c r="I1441" s="1100">
        <v>0.97638241954743721</v>
      </c>
      <c r="K1441">
        <v>1.1572017952685159</v>
      </c>
      <c r="L1441">
        <v>0</v>
      </c>
      <c r="M1441">
        <v>8.7591539671404855E-4</v>
      </c>
      <c r="N1441">
        <v>7.2685597143508779E-2</v>
      </c>
      <c r="O1441">
        <v>1.0443989582845791E-2</v>
      </c>
      <c r="P1441">
        <v>1.3318623785135004E-2</v>
      </c>
      <c r="Q1441">
        <v>4.3804794726166267E-4</v>
      </c>
      <c r="R1441">
        <v>8.7399242290261384E-4</v>
      </c>
      <c r="S1441">
        <v>7.2137781731048761E-2</v>
      </c>
      <c r="T1441">
        <v>0.83898531318684</v>
      </c>
      <c r="U1441">
        <v>0</v>
      </c>
      <c r="V1441">
        <v>9.1458915613513797E-2</v>
      </c>
      <c r="W1441">
        <v>4.8743141304483949E-2</v>
      </c>
      <c r="X1441">
        <v>6.6135886840714116E-3</v>
      </c>
      <c r="Y1441">
        <v>2.3787192636161359E-3</v>
      </c>
    </row>
    <row r="1442" spans="1:25" x14ac:dyDescent="0.25">
      <c r="A1442" s="1096"/>
      <c r="B1442" s="1455">
        <v>1192</v>
      </c>
      <c r="C1442" s="1100">
        <v>0.98884817499783928</v>
      </c>
      <c r="D1442" s="1100">
        <v>0.9982128740194306</v>
      </c>
      <c r="E1442" s="1100">
        <v>0.97042149288437063</v>
      </c>
      <c r="F1442" s="1100">
        <v>1.0208182190181805</v>
      </c>
      <c r="G1442" s="1100">
        <v>1.0053634305554138</v>
      </c>
      <c r="H1442" s="1100">
        <v>1.0320886863304375</v>
      </c>
      <c r="I1442" s="1100">
        <v>1.0361222577607374</v>
      </c>
      <c r="K1442">
        <v>1.175740708743632</v>
      </c>
      <c r="L1442">
        <v>0</v>
      </c>
      <c r="M1442">
        <v>8.8918070767593721E-4</v>
      </c>
      <c r="N1442">
        <v>7.4826989060778309E-2</v>
      </c>
      <c r="O1442">
        <v>1.0463692944665941E-2</v>
      </c>
      <c r="P1442">
        <v>1.3561210349187055E-2</v>
      </c>
      <c r="Q1442">
        <v>4.4094845021076839E-4</v>
      </c>
      <c r="R1442">
        <v>8.8727261883412591E-4</v>
      </c>
      <c r="S1442">
        <v>7.7751028743929224E-2</v>
      </c>
      <c r="T1442">
        <v>0.84687644685389707</v>
      </c>
      <c r="U1442">
        <v>0</v>
      </c>
      <c r="V1442">
        <v>9.260036792213315E-2</v>
      </c>
      <c r="W1442">
        <v>5.00384157885247E-2</v>
      </c>
      <c r="X1442">
        <v>6.7686531400194226E-3</v>
      </c>
      <c r="Y1442">
        <v>2.4148635791263E-3</v>
      </c>
    </row>
    <row r="1443" spans="1:25" x14ac:dyDescent="0.25">
      <c r="A1443" s="1096"/>
      <c r="B1443" s="1455">
        <v>1193</v>
      </c>
      <c r="C1443" s="1100">
        <v>1.0127964540522023</v>
      </c>
      <c r="D1443" s="1100">
        <v>0.97307589230992853</v>
      </c>
      <c r="E1443" s="1100">
        <v>1.0322001560584604</v>
      </c>
      <c r="F1443" s="1100">
        <v>1.003085571646033</v>
      </c>
      <c r="G1443" s="1100">
        <v>1.0037346061323651</v>
      </c>
      <c r="H1443" s="1100">
        <v>1.0167475491735554</v>
      </c>
      <c r="I1443" s="1100">
        <v>1.0052923222580425</v>
      </c>
      <c r="K1443">
        <v>1.1553478427620418</v>
      </c>
      <c r="L1443">
        <v>0</v>
      </c>
      <c r="M1443">
        <v>7.6008243980342732E-4</v>
      </c>
      <c r="N1443">
        <v>7.7084452311922375E-2</v>
      </c>
      <c r="O1443">
        <v>1.0341216041383182E-2</v>
      </c>
      <c r="P1443">
        <v>1.3877798836494933E-2</v>
      </c>
      <c r="Q1443">
        <v>4.6368808499639726E-4</v>
      </c>
      <c r="R1443">
        <v>7.5842677223127402E-4</v>
      </c>
      <c r="S1443">
        <v>7.4069097071211412E-2</v>
      </c>
      <c r="T1443">
        <v>0.82806533297172646</v>
      </c>
      <c r="U1443">
        <v>0</v>
      </c>
      <c r="V1443">
        <v>9.1947189170915142E-2</v>
      </c>
      <c r="W1443">
        <v>4.9691284338197826E-2</v>
      </c>
      <c r="X1443">
        <v>7.7452519440714363E-3</v>
      </c>
      <c r="Y1443">
        <v>2.0641876586952549E-3</v>
      </c>
    </row>
    <row r="1444" spans="1:25" x14ac:dyDescent="0.25">
      <c r="A1444" s="1096"/>
      <c r="B1444" s="1455">
        <v>1194</v>
      </c>
      <c r="C1444" s="1100">
        <v>1.0311351492163874</v>
      </c>
      <c r="D1444" s="1100">
        <v>0.98367923660590206</v>
      </c>
      <c r="E1444" s="1100">
        <v>1.0026569243299173</v>
      </c>
      <c r="F1444" s="1100">
        <v>1.0234309785105415</v>
      </c>
      <c r="G1444" s="1100">
        <v>1.0152550804974028</v>
      </c>
      <c r="H1444" s="1100">
        <v>1.0196985045760281</v>
      </c>
      <c r="I1444" s="1100">
        <v>0.99614627357109553</v>
      </c>
      <c r="K1444">
        <v>1.1661226083227421</v>
      </c>
      <c r="L1444">
        <v>0</v>
      </c>
      <c r="M1444">
        <v>7.9273589001560725E-4</v>
      </c>
      <c r="N1444">
        <v>7.353994633886958E-2</v>
      </c>
      <c r="O1444">
        <v>1.0103895665594007E-2</v>
      </c>
      <c r="P1444">
        <v>1.380537852008324E-2</v>
      </c>
      <c r="Q1444">
        <v>4.3991580561253765E-4</v>
      </c>
      <c r="R1444">
        <v>7.9101409155098905E-4</v>
      </c>
      <c r="S1444">
        <v>7.1772827613755419E-2</v>
      </c>
      <c r="T1444">
        <v>0.84684549008532095</v>
      </c>
      <c r="U1444">
        <v>0</v>
      </c>
      <c r="V1444">
        <v>9.1999894921053219E-2</v>
      </c>
      <c r="W1444">
        <v>4.8234596621950523E-2</v>
      </c>
      <c r="X1444">
        <v>7.229504949490608E-3</v>
      </c>
      <c r="Y1444">
        <v>2.1528795994765928E-3</v>
      </c>
    </row>
    <row r="1445" spans="1:25" x14ac:dyDescent="0.25">
      <c r="A1445" s="1096"/>
      <c r="B1445" s="1455">
        <v>1195</v>
      </c>
      <c r="C1445" s="1100">
        <v>0.99684301738859626</v>
      </c>
      <c r="D1445" s="1100">
        <v>1.032296398078028</v>
      </c>
      <c r="E1445" s="1100">
        <v>0.97203979661595119</v>
      </c>
      <c r="F1445" s="1100">
        <v>0.99417668031035245</v>
      </c>
      <c r="G1445" s="1100">
        <v>0.97622044965477939</v>
      </c>
      <c r="H1445" s="1100">
        <v>0.99427151891124566</v>
      </c>
      <c r="I1445" s="1100">
        <v>0.97418538350981998</v>
      </c>
      <c r="K1445">
        <v>1.1361814887295267</v>
      </c>
      <c r="L1445">
        <v>0</v>
      </c>
      <c r="M1445">
        <v>8.3559748654329457E-4</v>
      </c>
      <c r="N1445">
        <v>7.0657408937351437E-2</v>
      </c>
      <c r="O1445">
        <v>1.024182797965721E-2</v>
      </c>
      <c r="P1445">
        <v>1.3156087860216742E-2</v>
      </c>
      <c r="Q1445">
        <v>4.3231285963666829E-4</v>
      </c>
      <c r="R1445">
        <v>8.337361808587947E-4</v>
      </c>
      <c r="S1445">
        <v>6.9801515949040688E-2</v>
      </c>
      <c r="T1445">
        <v>0.82466646584743775</v>
      </c>
      <c r="U1445">
        <v>0</v>
      </c>
      <c r="V1445">
        <v>9.1153168495346631E-2</v>
      </c>
      <c r="W1445">
        <v>4.7203657090806615E-2</v>
      </c>
      <c r="X1445">
        <v>6.6017499724778609E-3</v>
      </c>
      <c r="Y1445">
        <v>2.2691550432394842E-3</v>
      </c>
    </row>
    <row r="1446" spans="1:25" x14ac:dyDescent="0.25">
      <c r="A1446" s="1096"/>
      <c r="B1446" s="1455">
        <v>1196</v>
      </c>
      <c r="C1446" s="1100">
        <v>0.95825474425284396</v>
      </c>
      <c r="D1446" s="1100">
        <v>0.98593712638140529</v>
      </c>
      <c r="E1446" s="1100">
        <v>0.98767270683140118</v>
      </c>
      <c r="F1446" s="1100">
        <v>0.981059786566855</v>
      </c>
      <c r="G1446" s="1100">
        <v>0.9807317484435546</v>
      </c>
      <c r="H1446" s="1100">
        <v>0.95464850142630564</v>
      </c>
      <c r="I1446" s="1100">
        <v>0.99259336634256212</v>
      </c>
      <c r="K1446">
        <v>1.1341896232371964</v>
      </c>
      <c r="L1446">
        <v>0</v>
      </c>
      <c r="M1446">
        <v>8.2304779180527048E-4</v>
      </c>
      <c r="N1446">
        <v>7.2960480593967383E-2</v>
      </c>
      <c r="O1446">
        <v>1.0857241578312683E-2</v>
      </c>
      <c r="P1446">
        <v>1.322682942023768E-2</v>
      </c>
      <c r="Q1446">
        <v>4.6563045614298891E-4</v>
      </c>
      <c r="R1446">
        <v>8.2113834687824218E-4</v>
      </c>
      <c r="S1446">
        <v>7.4090819647621278E-2</v>
      </c>
      <c r="T1446">
        <v>0.81276067444298028</v>
      </c>
      <c r="U1446">
        <v>0</v>
      </c>
      <c r="V1446">
        <v>9.234937753990248E-2</v>
      </c>
      <c r="W1446">
        <v>4.8284261752828787E-2</v>
      </c>
      <c r="X1446">
        <v>6.9613493581099873E-3</v>
      </c>
      <c r="Y1446">
        <v>2.2348678920192755E-3</v>
      </c>
    </row>
    <row r="1447" spans="1:25" x14ac:dyDescent="0.25">
      <c r="A1447" s="1096"/>
      <c r="B1447" s="1455">
        <v>1197</v>
      </c>
      <c r="C1447" s="1100">
        <v>0.95683019220110443</v>
      </c>
      <c r="D1447" s="1100">
        <v>0.9992742252681317</v>
      </c>
      <c r="E1447" s="1100">
        <v>0.98754186224420992</v>
      </c>
      <c r="F1447" s="1100">
        <v>1.0222076263710758</v>
      </c>
      <c r="G1447" s="1100">
        <v>1.0261731745800911</v>
      </c>
      <c r="H1447" s="1100">
        <v>1.0348912267503161</v>
      </c>
      <c r="I1447" s="1100">
        <v>1.0351389359993026</v>
      </c>
      <c r="K1447">
        <v>1.1871712720793346</v>
      </c>
      <c r="L1447">
        <v>0</v>
      </c>
      <c r="M1447">
        <v>8.8900832862438188E-4</v>
      </c>
      <c r="N1447">
        <v>7.879069325789774E-2</v>
      </c>
      <c r="O1447">
        <v>1.0815077309656813E-2</v>
      </c>
      <c r="P1447">
        <v>1.3797767347409336E-2</v>
      </c>
      <c r="Q1447">
        <v>4.6376075350312043E-4</v>
      </c>
      <c r="R1447">
        <v>8.8710577589421499E-4</v>
      </c>
      <c r="S1447">
        <v>8.0378351808121237E-2</v>
      </c>
      <c r="T1447">
        <v>0.8468585819609824</v>
      </c>
      <c r="U1447">
        <v>0</v>
      </c>
      <c r="V1447">
        <v>9.4330989211645858E-2</v>
      </c>
      <c r="W1447">
        <v>5.2146712885036375E-2</v>
      </c>
      <c r="X1447">
        <v>7.1768306101678116E-3</v>
      </c>
      <c r="Y1447">
        <v>2.4144094876436231E-3</v>
      </c>
    </row>
    <row r="1448" spans="1:25" x14ac:dyDescent="0.25">
      <c r="A1448" s="1096"/>
      <c r="B1448" s="1455">
        <v>1198</v>
      </c>
      <c r="C1448" s="1100">
        <v>1.0130675489808825</v>
      </c>
      <c r="D1448" s="1100">
        <v>0.99568515158564042</v>
      </c>
      <c r="E1448" s="1100">
        <v>1.0032534361536782</v>
      </c>
      <c r="F1448" s="1100">
        <v>0.99103050972329509</v>
      </c>
      <c r="G1448" s="1100">
        <v>1.0084753476296233</v>
      </c>
      <c r="H1448" s="1100">
        <v>0.99949927004325778</v>
      </c>
      <c r="I1448" s="1100">
        <v>1.0352598834991107</v>
      </c>
      <c r="K1448">
        <v>1.1411409142522009</v>
      </c>
      <c r="L1448">
        <v>0</v>
      </c>
      <c r="M1448">
        <v>7.8608838044710849E-4</v>
      </c>
      <c r="N1448">
        <v>7.3051572924191011E-2</v>
      </c>
      <c r="O1448">
        <v>1.0234504603496305E-2</v>
      </c>
      <c r="P1448">
        <v>1.3485365230443738E-2</v>
      </c>
      <c r="Q1448">
        <v>4.458692449577932E-4</v>
      </c>
      <c r="R1448">
        <v>7.8434651552483485E-4</v>
      </c>
      <c r="S1448">
        <v>7.461028108516575E-2</v>
      </c>
      <c r="T1448">
        <v>0.81999640278783748</v>
      </c>
      <c r="U1448">
        <v>0</v>
      </c>
      <c r="V1448">
        <v>9.2138799151450193E-2</v>
      </c>
      <c r="W1448">
        <v>4.7897329521481714E-2</v>
      </c>
      <c r="X1448">
        <v>7.147798912599034E-3</v>
      </c>
      <c r="Y1448">
        <v>2.1347326554992472E-3</v>
      </c>
    </row>
    <row r="1449" spans="1:25" x14ac:dyDescent="0.25">
      <c r="A1449" s="1096"/>
      <c r="B1449" s="1455">
        <v>1199</v>
      </c>
      <c r="C1449" s="1100">
        <v>1.0077402183633732</v>
      </c>
      <c r="D1449" s="1100">
        <v>1.0080181608275025</v>
      </c>
      <c r="E1449" s="1100">
        <v>1.034601225483385</v>
      </c>
      <c r="F1449" s="1100">
        <v>1.0216995989786604</v>
      </c>
      <c r="G1449" s="1100">
        <v>0.9864485214917259</v>
      </c>
      <c r="H1449" s="1100">
        <v>1.048949432687788</v>
      </c>
      <c r="I1449" s="1100">
        <v>1.0051468022031158</v>
      </c>
      <c r="K1449">
        <v>1.173622478612512</v>
      </c>
      <c r="L1449">
        <v>0</v>
      </c>
      <c r="M1449">
        <v>7.7316651917875743E-4</v>
      </c>
      <c r="N1449">
        <v>7.8986152971962306E-2</v>
      </c>
      <c r="O1449">
        <v>1.0248248389896793E-2</v>
      </c>
      <c r="P1449">
        <v>1.4110654428394889E-2</v>
      </c>
      <c r="Q1449">
        <v>4.606096460667511E-4</v>
      </c>
      <c r="R1449">
        <v>7.7153405347969424E-4</v>
      </c>
      <c r="S1449">
        <v>7.4402311952745423E-2</v>
      </c>
      <c r="T1449">
        <v>0.8432717942345227</v>
      </c>
      <c r="U1449">
        <v>0</v>
      </c>
      <c r="V1449">
        <v>9.1331779934996485E-2</v>
      </c>
      <c r="W1449">
        <v>5.0846457616646391E-2</v>
      </c>
      <c r="X1449">
        <v>7.86624054553893E-3</v>
      </c>
      <c r="Y1449">
        <v>2.0998613574393526E-3</v>
      </c>
    </row>
    <row r="1450" spans="1:25" x14ac:dyDescent="0.25">
      <c r="A1450" s="1096"/>
      <c r="B1450" s="1455">
        <v>1200</v>
      </c>
      <c r="C1450" s="1100">
        <v>0.97842512657808467</v>
      </c>
      <c r="D1450" s="1100">
        <v>0.98081726225649657</v>
      </c>
      <c r="E1450" s="1100">
        <v>0.99666220316358756</v>
      </c>
      <c r="F1450" s="1100">
        <v>0.99791423927801692</v>
      </c>
      <c r="G1450" s="1100">
        <v>1.0337064917342931</v>
      </c>
      <c r="H1450" s="1100">
        <v>0.97788841127131576</v>
      </c>
      <c r="I1450" s="1100">
        <v>0.99692661518756243</v>
      </c>
      <c r="K1450">
        <v>1.1509497983774419</v>
      </c>
      <c r="L1450">
        <v>0</v>
      </c>
      <c r="M1450">
        <v>8.1215759484341008E-4</v>
      </c>
      <c r="N1450">
        <v>7.398246962947197E-2</v>
      </c>
      <c r="O1450">
        <v>1.065861256374105E-2</v>
      </c>
      <c r="P1450">
        <v>1.3521447623248395E-2</v>
      </c>
      <c r="Q1450">
        <v>4.612792679303721E-4</v>
      </c>
      <c r="R1450">
        <v>8.1031819312281427E-4</v>
      </c>
      <c r="S1450">
        <v>7.4057927943008972E-2</v>
      </c>
      <c r="T1450">
        <v>0.82612759372588052</v>
      </c>
      <c r="U1450">
        <v>0</v>
      </c>
      <c r="V1450">
        <v>9.4082758626572269E-2</v>
      </c>
      <c r="W1450">
        <v>4.8698092148715677E-2</v>
      </c>
      <c r="X1450">
        <v>7.1560372502329113E-3</v>
      </c>
      <c r="Y1450">
        <v>2.205419000359728E-3</v>
      </c>
    </row>
    <row r="1451" spans="1:25" x14ac:dyDescent="0.25">
      <c r="A1451" s="1096"/>
      <c r="B1451" s="1455">
        <v>1201</v>
      </c>
      <c r="C1451" s="1100">
        <v>1.0167948421005439</v>
      </c>
      <c r="D1451" s="1100">
        <v>0.97826523236909024</v>
      </c>
      <c r="E1451" s="1100">
        <v>0.9844717885332922</v>
      </c>
      <c r="F1451" s="1100">
        <v>1.003820030789508</v>
      </c>
      <c r="G1451" s="1100">
        <v>1.0057781498950427</v>
      </c>
      <c r="H1451" s="1100">
        <v>1.0084114663858543</v>
      </c>
      <c r="I1451" s="1100">
        <v>1.0015620663203011</v>
      </c>
      <c r="K1451">
        <v>1.1507400162759116</v>
      </c>
      <c r="L1451">
        <v>0</v>
      </c>
      <c r="M1451">
        <v>8.2737293165273743E-4</v>
      </c>
      <c r="N1451">
        <v>7.2646310434854672E-2</v>
      </c>
      <c r="O1451">
        <v>1.0263141105274098E-2</v>
      </c>
      <c r="P1451">
        <v>1.3430203523658145E-2</v>
      </c>
      <c r="Q1451">
        <v>4.3872663704430941E-4</v>
      </c>
      <c r="R1451">
        <v>8.2555578862944035E-4</v>
      </c>
      <c r="S1451">
        <v>7.2910422539771591E-2</v>
      </c>
      <c r="T1451">
        <v>0.83183061237784062</v>
      </c>
      <c r="U1451">
        <v>0</v>
      </c>
      <c r="V1451">
        <v>9.1931292136859744E-2</v>
      </c>
      <c r="W1451">
        <v>4.8168912756981028E-2</v>
      </c>
      <c r="X1451">
        <v>6.8753211943935874E-3</v>
      </c>
      <c r="Y1451">
        <v>2.2468907122567558E-3</v>
      </c>
    </row>
    <row r="1452" spans="1:25" x14ac:dyDescent="0.25">
      <c r="A1452" s="1096"/>
      <c r="B1452" s="1455">
        <v>1202</v>
      </c>
      <c r="C1452" s="1100">
        <v>1.0374859946163333</v>
      </c>
      <c r="D1452" s="1100">
        <v>1.0471254095398976</v>
      </c>
      <c r="E1452" s="1100">
        <v>0.98363600211371394</v>
      </c>
      <c r="F1452" s="1100">
        <v>1.0126206819167249</v>
      </c>
      <c r="G1452" s="1100">
        <v>0.99806502994508428</v>
      </c>
      <c r="H1452" s="1100">
        <v>0.99140958002026836</v>
      </c>
      <c r="I1452" s="1100">
        <v>1.002041039615553</v>
      </c>
      <c r="K1452">
        <v>1.1444193008810903</v>
      </c>
      <c r="L1452">
        <v>0</v>
      </c>
      <c r="M1452">
        <v>7.7714480530888079E-4</v>
      </c>
      <c r="N1452">
        <v>6.8061245061238868E-2</v>
      </c>
      <c r="O1452">
        <v>9.788206074731914E-3</v>
      </c>
      <c r="P1452">
        <v>1.3448645808274175E-2</v>
      </c>
      <c r="Q1452">
        <v>4.1806971527759852E-4</v>
      </c>
      <c r="R1452">
        <v>7.7540870659608991E-4</v>
      </c>
      <c r="S1452">
        <v>6.8384598259816895E-2</v>
      </c>
      <c r="T1452">
        <v>0.83917987294648499</v>
      </c>
      <c r="U1452">
        <v>0</v>
      </c>
      <c r="V1452">
        <v>9.1115376620588523E-2</v>
      </c>
      <c r="W1452">
        <v>4.5151443820748031E-2</v>
      </c>
      <c r="X1452">
        <v>6.7631717866981668E-3</v>
      </c>
      <c r="Y1452">
        <v>2.1104068859431244E-3</v>
      </c>
    </row>
    <row r="1453" spans="1:25" x14ac:dyDescent="0.25">
      <c r="A1453" s="1096"/>
      <c r="B1453" s="1455">
        <v>1203</v>
      </c>
      <c r="C1453" s="1100">
        <v>0.96264850912136735</v>
      </c>
      <c r="D1453" s="1100">
        <v>1.0041111504626343</v>
      </c>
      <c r="E1453" s="1100">
        <v>1.013117716347105</v>
      </c>
      <c r="F1453" s="1100">
        <v>0.95659973866007386</v>
      </c>
      <c r="G1453" s="1100">
        <v>0.98939298196240077</v>
      </c>
      <c r="H1453" s="1100">
        <v>1.018962589015681</v>
      </c>
      <c r="I1453" s="1100">
        <v>0.98601410751845364</v>
      </c>
      <c r="K1453">
        <v>1.1229872936273391</v>
      </c>
      <c r="L1453">
        <v>0</v>
      </c>
      <c r="M1453">
        <v>8.2348621945107559E-4</v>
      </c>
      <c r="N1453">
        <v>7.8843894928430969E-2</v>
      </c>
      <c r="O1453">
        <v>1.0737649008931446E-2</v>
      </c>
      <c r="P1453">
        <v>1.3199354890765904E-2</v>
      </c>
      <c r="Q1453">
        <v>4.7242910966309524E-4</v>
      </c>
      <c r="R1453">
        <v>8.2169634044337457E-4</v>
      </c>
      <c r="S1453">
        <v>7.5281969146855157E-2</v>
      </c>
      <c r="T1453">
        <v>0.79088554903555497</v>
      </c>
      <c r="U1453">
        <v>0</v>
      </c>
      <c r="V1453">
        <v>9.2606099996348057E-2</v>
      </c>
      <c r="W1453">
        <v>5.1394897333439729E-2</v>
      </c>
      <c r="X1453">
        <v>7.3308534897951012E-3</v>
      </c>
      <c r="Y1453">
        <v>2.2363865665610367E-3</v>
      </c>
    </row>
    <row r="1454" spans="1:25" x14ac:dyDescent="0.25">
      <c r="A1454" s="1096"/>
      <c r="B1454" s="1455">
        <v>1204</v>
      </c>
      <c r="C1454" s="1100">
        <v>0.97518818765128046</v>
      </c>
      <c r="D1454" s="1100">
        <v>1.0124105115372728</v>
      </c>
      <c r="E1454" s="1100">
        <v>0.98147635495691121</v>
      </c>
      <c r="F1454" s="1100">
        <v>0.99380373710856929</v>
      </c>
      <c r="G1454" s="1100">
        <v>0.9941908964105437</v>
      </c>
      <c r="H1454" s="1100">
        <v>0.97245268662330997</v>
      </c>
      <c r="I1454" s="1100">
        <v>1.0011054321248407</v>
      </c>
      <c r="K1454">
        <v>1.1423101902105803</v>
      </c>
      <c r="L1454">
        <v>0</v>
      </c>
      <c r="M1454">
        <v>8.2567315149971194E-4</v>
      </c>
      <c r="N1454">
        <v>7.1837274381432573E-2</v>
      </c>
      <c r="O1454">
        <v>1.0554171335250492E-2</v>
      </c>
      <c r="P1454">
        <v>1.3301552693101642E-2</v>
      </c>
      <c r="Q1454">
        <v>4.4979828612057158E-4</v>
      </c>
      <c r="R1454">
        <v>8.2379268647524715E-4</v>
      </c>
      <c r="S1454">
        <v>7.3163416335487577E-2</v>
      </c>
      <c r="T1454">
        <v>0.82372918327115108</v>
      </c>
      <c r="U1454">
        <v>0</v>
      </c>
      <c r="V1454">
        <v>9.2474977079836151E-2</v>
      </c>
      <c r="W1454">
        <v>4.7718501037077768E-2</v>
      </c>
      <c r="X1454">
        <v>6.8411041267461776E-3</v>
      </c>
      <c r="Y1454">
        <v>2.2420921293995104E-3</v>
      </c>
    </row>
    <row r="1455" spans="1:25" x14ac:dyDescent="0.25">
      <c r="A1455" s="1096"/>
      <c r="B1455" s="1455">
        <v>1205</v>
      </c>
      <c r="C1455" s="1100">
        <v>1.0195442470356861</v>
      </c>
      <c r="D1455" s="1100">
        <v>1.0192608810819865</v>
      </c>
      <c r="E1455" s="1100">
        <v>0.97458383411564176</v>
      </c>
      <c r="F1455" s="1100">
        <v>0.98341169123299876</v>
      </c>
      <c r="G1455" s="1100">
        <v>1.003880464908399</v>
      </c>
      <c r="H1455" s="1100">
        <v>0.97059304577442884</v>
      </c>
      <c r="I1455" s="1100">
        <v>1.0252820512878242</v>
      </c>
      <c r="K1455">
        <v>1.1242749567819523</v>
      </c>
      <c r="L1455">
        <v>0</v>
      </c>
      <c r="M1455">
        <v>7.9739856568748551E-4</v>
      </c>
      <c r="N1455">
        <v>6.7944914967342562E-2</v>
      </c>
      <c r="O1455">
        <v>1.0065621884418608E-2</v>
      </c>
      <c r="P1455">
        <v>1.3089085246518636E-2</v>
      </c>
      <c r="Q1455">
        <v>4.259792639857632E-4</v>
      </c>
      <c r="R1455">
        <v>7.9557901628023034E-4</v>
      </c>
      <c r="S1455">
        <v>7.1338697408398086E-2</v>
      </c>
      <c r="T1455">
        <v>0.8155691470453148</v>
      </c>
      <c r="U1455">
        <v>0</v>
      </c>
      <c r="V1455">
        <v>9.178321492780904E-2</v>
      </c>
      <c r="W1455">
        <v>4.5321493092939723E-2</v>
      </c>
      <c r="X1455">
        <v>6.5733186748692498E-3</v>
      </c>
      <c r="Y1455">
        <v>2.1653038197625551E-3</v>
      </c>
    </row>
    <row r="1456" spans="1:25" x14ac:dyDescent="0.25">
      <c r="A1456" s="1096"/>
      <c r="B1456" s="1455">
        <v>1206</v>
      </c>
      <c r="C1456" s="1100">
        <v>1.0291913775474923</v>
      </c>
      <c r="D1456" s="1100">
        <v>1.0034183345743082</v>
      </c>
      <c r="E1456" s="1100">
        <v>0.98516018417509277</v>
      </c>
      <c r="F1456" s="1100">
        <v>1.0072141730049486</v>
      </c>
      <c r="G1456" s="1100">
        <v>1.0294153882209822</v>
      </c>
      <c r="H1456" s="1100">
        <v>1.0345943126236279</v>
      </c>
      <c r="I1456" s="1100">
        <v>1.0234441907084131</v>
      </c>
      <c r="K1456">
        <v>1.1553233179299898</v>
      </c>
      <c r="L1456">
        <v>0</v>
      </c>
      <c r="M1456">
        <v>8.2897603856634168E-4</v>
      </c>
      <c r="N1456">
        <v>7.2942840811439369E-2</v>
      </c>
      <c r="O1456">
        <v>1.0037296806750959E-2</v>
      </c>
      <c r="P1456">
        <v>1.3494987688828912E-2</v>
      </c>
      <c r="Q1456">
        <v>4.2937180814507474E-4</v>
      </c>
      <c r="R1456">
        <v>8.2720145085936998E-4</v>
      </c>
      <c r="S1456">
        <v>7.3711858941981137E-2</v>
      </c>
      <c r="T1456">
        <v>0.83459697486790774</v>
      </c>
      <c r="U1456">
        <v>0</v>
      </c>
      <c r="V1456">
        <v>9.2648669252778162E-2</v>
      </c>
      <c r="W1456">
        <v>4.8345507030731573E-2</v>
      </c>
      <c r="X1456">
        <v>6.8662156467792059E-3</v>
      </c>
      <c r="Y1456">
        <v>2.2513696623542149E-3</v>
      </c>
    </row>
    <row r="1457" spans="1:25" x14ac:dyDescent="0.25">
      <c r="A1457" s="1096"/>
      <c r="B1457" s="1455">
        <v>1207</v>
      </c>
      <c r="C1457" s="1100">
        <v>0.98153392549616147</v>
      </c>
      <c r="D1457" s="1100">
        <v>0.96944427148277401</v>
      </c>
      <c r="E1457" s="1100">
        <v>1.0259076465432728</v>
      </c>
      <c r="F1457" s="1100">
        <v>0.98192695602763802</v>
      </c>
      <c r="G1457" s="1100">
        <v>1.0214535146438712</v>
      </c>
      <c r="H1457" s="1100">
        <v>0.9926132010866574</v>
      </c>
      <c r="I1457" s="1100">
        <v>1.0293744213220097</v>
      </c>
      <c r="K1457">
        <v>1.1437280070196922</v>
      </c>
      <c r="L1457">
        <v>0</v>
      </c>
      <c r="M1457">
        <v>7.7694051667478385E-4</v>
      </c>
      <c r="N1457">
        <v>7.7309347399152975E-2</v>
      </c>
      <c r="O1457">
        <v>1.0684428296688749E-2</v>
      </c>
      <c r="P1457">
        <v>1.3644416689001515E-2</v>
      </c>
      <c r="Q1457">
        <v>4.761045169422648E-4</v>
      </c>
      <c r="R1457">
        <v>7.7520697893351494E-4</v>
      </c>
      <c r="S1457">
        <v>7.7358374818813011E-2</v>
      </c>
      <c r="T1457">
        <v>0.81100175881539216</v>
      </c>
      <c r="U1457">
        <v>0</v>
      </c>
      <c r="V1457">
        <v>9.3483104907438302E-2</v>
      </c>
      <c r="W1457">
        <v>5.001876256109733E-2</v>
      </c>
      <c r="X1457">
        <v>7.6435847031620617E-3</v>
      </c>
      <c r="Y1457">
        <v>2.1098578497451021E-3</v>
      </c>
    </row>
    <row r="1458" spans="1:25" x14ac:dyDescent="0.25">
      <c r="A1458" s="1096"/>
      <c r="B1458" s="1455">
        <v>1208</v>
      </c>
      <c r="C1458" s="1100">
        <v>0.99714586416709217</v>
      </c>
      <c r="D1458" s="1100">
        <v>1.0277569531116497</v>
      </c>
      <c r="E1458" s="1100">
        <v>0.99588460194340855</v>
      </c>
      <c r="F1458" s="1100">
        <v>1.026998155895436</v>
      </c>
      <c r="G1458" s="1100">
        <v>1.0255269252108983</v>
      </c>
      <c r="H1458" s="1100">
        <v>0.98911557029709329</v>
      </c>
      <c r="I1458" s="1100">
        <v>1.023469959778043</v>
      </c>
      <c r="K1458">
        <v>1.1700883000618638</v>
      </c>
      <c r="L1458">
        <v>0</v>
      </c>
      <c r="M1458">
        <v>7.9240303129481809E-4</v>
      </c>
      <c r="N1458">
        <v>7.201538137099199E-2</v>
      </c>
      <c r="O1458">
        <v>1.0264504196666507E-2</v>
      </c>
      <c r="P1458">
        <v>1.3819824115990758E-2</v>
      </c>
      <c r="Q1458">
        <v>4.438754015030071E-4</v>
      </c>
      <c r="R1458">
        <v>7.9062874103801744E-4</v>
      </c>
      <c r="S1458">
        <v>7.3291694306511723E-2</v>
      </c>
      <c r="T1458">
        <v>0.85025780631595016</v>
      </c>
      <c r="U1458">
        <v>0</v>
      </c>
      <c r="V1458">
        <v>9.3257419937133615E-2</v>
      </c>
      <c r="W1458">
        <v>4.7425257131982347E-2</v>
      </c>
      <c r="X1458">
        <v>7.1624807729787927E-3</v>
      </c>
      <c r="Y1458">
        <v>2.151830802411046E-3</v>
      </c>
    </row>
    <row r="1459" spans="1:25" x14ac:dyDescent="0.25">
      <c r="A1459" s="1096"/>
      <c r="B1459" s="1455">
        <v>1209</v>
      </c>
      <c r="C1459" s="1100">
        <v>0.98785906066901186</v>
      </c>
      <c r="D1459" s="1100">
        <v>0.98606132869159191</v>
      </c>
      <c r="E1459" s="1100">
        <v>1.0256517546007093</v>
      </c>
      <c r="F1459" s="1100">
        <v>1.0092881247962731</v>
      </c>
      <c r="G1459" s="1100">
        <v>1.0194897706740107</v>
      </c>
      <c r="H1459" s="1100">
        <v>0.98735881047730822</v>
      </c>
      <c r="I1459" s="1100">
        <v>0.9756755216320151</v>
      </c>
      <c r="K1459">
        <v>1.1584678530259158</v>
      </c>
      <c r="L1459">
        <v>0</v>
      </c>
      <c r="M1459">
        <v>7.630834864976344E-4</v>
      </c>
      <c r="N1459">
        <v>7.5871034132604834E-2</v>
      </c>
      <c r="O1459">
        <v>1.0544006368249266E-2</v>
      </c>
      <c r="P1459">
        <v>1.3878185176509074E-2</v>
      </c>
      <c r="Q1459">
        <v>4.6972810020044488E-4</v>
      </c>
      <c r="R1459">
        <v>7.613718062961292E-4</v>
      </c>
      <c r="S1459">
        <v>7.2006513255564314E-2</v>
      </c>
      <c r="T1459">
        <v>0.8336170191187946</v>
      </c>
      <c r="U1459">
        <v>0</v>
      </c>
      <c r="V1459">
        <v>9.3237404648828015E-2</v>
      </c>
      <c r="W1459">
        <v>4.9095497297201404E-2</v>
      </c>
      <c r="X1459">
        <v>7.6779735375751539E-3</v>
      </c>
      <c r="Y1459">
        <v>2.0722030705895718E-3</v>
      </c>
    </row>
    <row r="1460" spans="1:25" x14ac:dyDescent="0.25">
      <c r="A1460" s="1096"/>
      <c r="B1460" s="1455">
        <v>1210</v>
      </c>
      <c r="C1460" s="1100">
        <v>1.0074652966991029</v>
      </c>
      <c r="D1460" s="1100">
        <v>0.99362560260798716</v>
      </c>
      <c r="E1460" s="1100">
        <v>0.98796098882455696</v>
      </c>
      <c r="F1460" s="1100">
        <v>1.016845624854738</v>
      </c>
      <c r="G1460" s="1100">
        <v>0.98500846123775943</v>
      </c>
      <c r="H1460" s="1100">
        <v>1.0301270151421076</v>
      </c>
      <c r="I1460" s="1100">
        <v>1.0248439862603829</v>
      </c>
      <c r="K1460">
        <v>1.1670259181698639</v>
      </c>
      <c r="L1460">
        <v>0</v>
      </c>
      <c r="M1460">
        <v>8.4161717681917195E-4</v>
      </c>
      <c r="N1460">
        <v>7.4684384281573341E-2</v>
      </c>
      <c r="O1460">
        <v>1.0294965989630684E-2</v>
      </c>
      <c r="P1460">
        <v>1.3635743005129047E-2</v>
      </c>
      <c r="Q1460">
        <v>4.4164517966768948E-4</v>
      </c>
      <c r="R1460">
        <v>8.3980771513303323E-4</v>
      </c>
      <c r="S1460">
        <v>7.5601561335745596E-2</v>
      </c>
      <c r="T1460">
        <v>0.84238799120128316</v>
      </c>
      <c r="U1460">
        <v>0</v>
      </c>
      <c r="V1460">
        <v>9.1269269689342888E-2</v>
      </c>
      <c r="W1460">
        <v>4.9416568297237264E-2</v>
      </c>
      <c r="X1460">
        <v>7.0099188938865537E-3</v>
      </c>
      <c r="Y1460">
        <v>2.2856797580532262E-3</v>
      </c>
    </row>
    <row r="1461" spans="1:25" x14ac:dyDescent="0.25">
      <c r="A1461" s="1096"/>
      <c r="B1461" s="1455">
        <v>1211</v>
      </c>
      <c r="C1461" s="1100">
        <v>0.97160050161037448</v>
      </c>
      <c r="D1461" s="1100">
        <v>0.98136923782851571</v>
      </c>
      <c r="E1461" s="1100">
        <v>0.99990469565675122</v>
      </c>
      <c r="F1461" s="1100">
        <v>0.9873480208033929</v>
      </c>
      <c r="G1461" s="1100">
        <v>1.0058322634472483</v>
      </c>
      <c r="H1461" s="1100">
        <v>1.0236397278042004</v>
      </c>
      <c r="I1461" s="1100">
        <v>0.98710189438749252</v>
      </c>
      <c r="K1461">
        <v>1.1497359004464596</v>
      </c>
      <c r="L1461">
        <v>0</v>
      </c>
      <c r="M1461">
        <v>8.5019788862613526E-4</v>
      </c>
      <c r="N1461">
        <v>7.8218160453823696E-2</v>
      </c>
      <c r="O1461">
        <v>1.0732164783566202E-2</v>
      </c>
      <c r="P1461">
        <v>1.3441171652808044E-2</v>
      </c>
      <c r="Q1461">
        <v>4.6598016194757157E-4</v>
      </c>
      <c r="R1461">
        <v>8.4835839423758541E-4</v>
      </c>
      <c r="S1461">
        <v>7.5730904469241092E-2</v>
      </c>
      <c r="T1461">
        <v>0.81716817391413588</v>
      </c>
      <c r="U1461">
        <v>0</v>
      </c>
      <c r="V1461">
        <v>9.3069396637453686E-2</v>
      </c>
      <c r="W1461">
        <v>5.1386924988583015E-2</v>
      </c>
      <c r="X1461">
        <v>7.2159109914432642E-3</v>
      </c>
      <c r="Y1461">
        <v>2.3089518878452076E-3</v>
      </c>
    </row>
    <row r="1462" spans="1:25" x14ac:dyDescent="0.25">
      <c r="A1462" s="1096"/>
      <c r="B1462" s="1455">
        <v>1212</v>
      </c>
      <c r="C1462" s="1100">
        <v>0.96960249811135768</v>
      </c>
      <c r="D1462" s="1100">
        <v>1.0116901729392738</v>
      </c>
      <c r="E1462" s="1100">
        <v>1.0031155484213699</v>
      </c>
      <c r="F1462" s="1100">
        <v>1.0325653450793915</v>
      </c>
      <c r="G1462" s="1100">
        <v>0.99653767037781216</v>
      </c>
      <c r="H1462" s="1100">
        <v>0.96789025589509925</v>
      </c>
      <c r="I1462" s="1100">
        <v>0.98520916165744044</v>
      </c>
      <c r="K1462">
        <v>1.175492824898708</v>
      </c>
      <c r="L1462">
        <v>0</v>
      </c>
      <c r="M1462">
        <v>7.9052165277761883E-4</v>
      </c>
      <c r="N1462">
        <v>7.3427642743910643E-2</v>
      </c>
      <c r="O1462">
        <v>1.0625256159411603E-2</v>
      </c>
      <c r="P1462">
        <v>1.3929802144803426E-2</v>
      </c>
      <c r="Q1462">
        <v>4.6282841260823082E-4</v>
      </c>
      <c r="R1462">
        <v>7.8871275831136076E-4</v>
      </c>
      <c r="S1462">
        <v>7.2280518239480021E-2</v>
      </c>
      <c r="T1462">
        <v>0.85437248127621923</v>
      </c>
      <c r="U1462">
        <v>0</v>
      </c>
      <c r="V1462">
        <v>9.2725114101022188E-2</v>
      </c>
      <c r="W1462">
        <v>4.8147840975534012E-2</v>
      </c>
      <c r="X1462">
        <v>7.3765336111530763E-3</v>
      </c>
      <c r="Y1462">
        <v>2.1466161290326228E-3</v>
      </c>
    </row>
    <row r="1463" spans="1:25" x14ac:dyDescent="0.25">
      <c r="A1463" s="1096"/>
      <c r="B1463" s="1455">
        <v>1213</v>
      </c>
      <c r="C1463" s="1100">
        <v>1.0325143432059984</v>
      </c>
      <c r="D1463" s="1100">
        <v>0.997465835883246</v>
      </c>
      <c r="E1463" s="1100">
        <v>1.0061296628098071</v>
      </c>
      <c r="F1463" s="1100">
        <v>1.0059184836962181</v>
      </c>
      <c r="G1463" s="1100">
        <v>0.98589108839422634</v>
      </c>
      <c r="H1463" s="1100">
        <v>0.97892565169092194</v>
      </c>
      <c r="I1463" s="1100">
        <v>1.0233459897822754</v>
      </c>
      <c r="K1463">
        <v>1.1439843708759294</v>
      </c>
      <c r="L1463">
        <v>0</v>
      </c>
      <c r="M1463">
        <v>7.5037361997617373E-4</v>
      </c>
      <c r="N1463">
        <v>7.033768505959305E-2</v>
      </c>
      <c r="O1463">
        <v>1.0035482641479144E-2</v>
      </c>
      <c r="P1463">
        <v>1.3617700782095801E-2</v>
      </c>
      <c r="Q1463">
        <v>4.3846133333058494E-4</v>
      </c>
      <c r="R1463">
        <v>7.4867594938015118E-4</v>
      </c>
      <c r="S1463">
        <v>7.1469085341477917E-2</v>
      </c>
      <c r="T1463">
        <v>0.83212387207524197</v>
      </c>
      <c r="U1463">
        <v>0</v>
      </c>
      <c r="V1463">
        <v>9.0712951927307856E-2</v>
      </c>
      <c r="W1463">
        <v>4.6039450219544073E-2</v>
      </c>
      <c r="X1463">
        <v>7.1737300332021681E-3</v>
      </c>
      <c r="Y1463">
        <v>2.0376491332523877E-3</v>
      </c>
    </row>
    <row r="1464" spans="1:25" x14ac:dyDescent="0.25">
      <c r="A1464" s="1096"/>
      <c r="B1464" s="1455">
        <v>1214</v>
      </c>
      <c r="C1464" s="1100">
        <v>0.99857864020248743</v>
      </c>
      <c r="D1464" s="1100">
        <v>1.0179698393513281</v>
      </c>
      <c r="E1464" s="1100">
        <v>0.97522305044324342</v>
      </c>
      <c r="F1464" s="1100">
        <v>0.99936514384078667</v>
      </c>
      <c r="G1464" s="1100">
        <v>1.0175604216056224</v>
      </c>
      <c r="H1464" s="1100">
        <v>0.98592624530097717</v>
      </c>
      <c r="I1464" s="1100">
        <v>0.96572208269646931</v>
      </c>
      <c r="K1464">
        <v>1.1413798940015698</v>
      </c>
      <c r="L1464">
        <v>0</v>
      </c>
      <c r="M1464">
        <v>8.2632924178201942E-4</v>
      </c>
      <c r="N1464">
        <v>7.0548915308319193E-2</v>
      </c>
      <c r="O1464">
        <v>1.0282372838803651E-2</v>
      </c>
      <c r="P1464">
        <v>1.3258592245485848E-2</v>
      </c>
      <c r="Q1464">
        <v>4.3543582398118371E-4</v>
      </c>
      <c r="R1464">
        <v>8.2447300116288613E-4</v>
      </c>
      <c r="S1464">
        <v>6.9249558468419251E-2</v>
      </c>
      <c r="T1464">
        <v>0.82875695328890986</v>
      </c>
      <c r="U1464">
        <v>0</v>
      </c>
      <c r="V1464">
        <v>9.2878525459403713E-2</v>
      </c>
      <c r="W1464">
        <v>4.7040213617372637E-2</v>
      </c>
      <c r="X1464">
        <v>6.6872394697794837E-3</v>
      </c>
      <c r="Y1464">
        <v>2.2439437217135869E-3</v>
      </c>
    </row>
    <row r="1465" spans="1:25" x14ac:dyDescent="0.25">
      <c r="A1465" s="1096"/>
      <c r="B1465" s="1455">
        <v>1215</v>
      </c>
      <c r="C1465" s="1100">
        <v>1.0025896203517652</v>
      </c>
      <c r="D1465" s="1100">
        <v>1.0262877100677494</v>
      </c>
      <c r="E1465" s="1100">
        <v>0.99868833188195572</v>
      </c>
      <c r="F1465" s="1100">
        <v>0.97542644775343823</v>
      </c>
      <c r="G1465" s="1100">
        <v>0.97610985859412369</v>
      </c>
      <c r="H1465" s="1100">
        <v>0.9790290445151395</v>
      </c>
      <c r="I1465" s="1100">
        <v>1.0287390600738906</v>
      </c>
      <c r="K1465">
        <v>1.1221534073425787</v>
      </c>
      <c r="L1465">
        <v>0</v>
      </c>
      <c r="M1465">
        <v>7.7598615045810343E-4</v>
      </c>
      <c r="N1465">
        <v>7.1121771437335432E-2</v>
      </c>
      <c r="O1465">
        <v>1.02155199997482E-2</v>
      </c>
      <c r="P1465">
        <v>1.322913198122589E-2</v>
      </c>
      <c r="Q1465">
        <v>4.4300575818430354E-4</v>
      </c>
      <c r="R1465">
        <v>7.7423071861530636E-4</v>
      </c>
      <c r="S1465">
        <v>7.2909455216598335E-2</v>
      </c>
      <c r="T1465">
        <v>0.80737998695124369</v>
      </c>
      <c r="U1465">
        <v>0</v>
      </c>
      <c r="V1465">
        <v>9.1010061546873786E-2</v>
      </c>
      <c r="W1465">
        <v>4.6758625963584419E-2</v>
      </c>
      <c r="X1465">
        <v>6.9804031286450751E-3</v>
      </c>
      <c r="Y1465">
        <v>2.107200790983066E-3</v>
      </c>
    </row>
    <row r="1466" spans="1:25" x14ac:dyDescent="0.25">
      <c r="A1466" s="1096"/>
      <c r="B1466" s="1455">
        <v>1216</v>
      </c>
      <c r="C1466" s="1100">
        <v>1.0080951091466837</v>
      </c>
      <c r="D1466" s="1100">
        <v>0.99704299051334166</v>
      </c>
      <c r="E1466" s="1100">
        <v>0.98706369196360988</v>
      </c>
      <c r="F1466" s="1100">
        <v>0.97058311472407244</v>
      </c>
      <c r="G1466" s="1100">
        <v>1.0281159663076882</v>
      </c>
      <c r="H1466" s="1100">
        <v>1.0122938230715137</v>
      </c>
      <c r="I1466" s="1100">
        <v>1.017595570073883</v>
      </c>
      <c r="K1466">
        <v>1.1258778483967875</v>
      </c>
      <c r="L1466">
        <v>0</v>
      </c>
      <c r="M1466">
        <v>8.2693105755895515E-4</v>
      </c>
      <c r="N1466">
        <v>7.3179529225314219E-2</v>
      </c>
      <c r="O1466">
        <v>1.0274122859313815E-2</v>
      </c>
      <c r="P1466">
        <v>1.3115066276962047E-2</v>
      </c>
      <c r="Q1466">
        <v>4.4035091450489439E-4</v>
      </c>
      <c r="R1466">
        <v>8.2512185041335112E-4</v>
      </c>
      <c r="S1466">
        <v>7.4154148417996835E-2</v>
      </c>
      <c r="T1466">
        <v>0.80412063289504931</v>
      </c>
      <c r="U1466">
        <v>0</v>
      </c>
      <c r="V1466">
        <v>9.3097121852099798E-2</v>
      </c>
      <c r="W1466">
        <v>4.8446934023324069E-2</v>
      </c>
      <c r="X1466">
        <v>6.8060414638875773E-3</v>
      </c>
      <c r="Y1466">
        <v>2.2457096754802544E-3</v>
      </c>
    </row>
    <row r="1467" spans="1:25" x14ac:dyDescent="0.25">
      <c r="A1467" s="1096"/>
      <c r="B1467" s="1455">
        <v>1217</v>
      </c>
      <c r="C1467" s="1100">
        <v>0.97871832937199954</v>
      </c>
      <c r="D1467" s="1100">
        <v>1.0204265642542687</v>
      </c>
      <c r="E1467" s="1100">
        <v>0.98572799369231379</v>
      </c>
      <c r="F1467" s="1100">
        <v>1.0146064839580056</v>
      </c>
      <c r="G1467" s="1100">
        <v>1.0016605777465519</v>
      </c>
      <c r="H1467" s="1100">
        <v>0.99416337066310201</v>
      </c>
      <c r="I1467" s="1100">
        <v>1.0020877334615659</v>
      </c>
      <c r="K1467">
        <v>1.1625002727125702</v>
      </c>
      <c r="L1467">
        <v>0</v>
      </c>
      <c r="M1467">
        <v>8.3107042200797473E-4</v>
      </c>
      <c r="N1467">
        <v>7.3246427681036563E-2</v>
      </c>
      <c r="O1467">
        <v>1.0484387852915368E-2</v>
      </c>
      <c r="P1467">
        <v>1.3581800523672421E-2</v>
      </c>
      <c r="Q1467">
        <v>4.4875543410396876E-4</v>
      </c>
      <c r="R1467">
        <v>8.2921899904451308E-4</v>
      </c>
      <c r="S1467">
        <v>7.3577303920407969E-2</v>
      </c>
      <c r="T1467">
        <v>0.84068397321575061</v>
      </c>
      <c r="U1467">
        <v>0</v>
      </c>
      <c r="V1467">
        <v>9.2703395530061947E-2</v>
      </c>
      <c r="W1467">
        <v>4.8530150107031225E-2</v>
      </c>
      <c r="X1467">
        <v>6.9890691071239335E-3</v>
      </c>
      <c r="Y1467">
        <v>2.2568607634295946E-3</v>
      </c>
    </row>
    <row r="1468" spans="1:25" x14ac:dyDescent="0.25">
      <c r="A1468" s="1096"/>
      <c r="B1468" s="1455">
        <v>1218</v>
      </c>
      <c r="C1468" s="1100">
        <v>0.96789655034568189</v>
      </c>
      <c r="D1468" s="1100">
        <v>0.97296409600937439</v>
      </c>
      <c r="E1468" s="1100">
        <v>0.96656170733219737</v>
      </c>
      <c r="F1468" s="1100">
        <v>0.99439022652198694</v>
      </c>
      <c r="G1468" s="1100">
        <v>0.99317896121156202</v>
      </c>
      <c r="H1468" s="1100">
        <v>1.0258960578743768</v>
      </c>
      <c r="I1468" s="1100">
        <v>1.0060220753829625</v>
      </c>
      <c r="K1468">
        <v>1.1571044886873727</v>
      </c>
      <c r="L1468">
        <v>0</v>
      </c>
      <c r="M1468">
        <v>9.1957544960794457E-4</v>
      </c>
      <c r="N1468">
        <v>7.6484566184266745E-2</v>
      </c>
      <c r="O1468">
        <v>1.0798996708229503E-2</v>
      </c>
      <c r="P1468">
        <v>1.3235025319064156E-2</v>
      </c>
      <c r="Q1468">
        <v>4.5328516829571124E-4</v>
      </c>
      <c r="R1468">
        <v>9.1759022529630237E-4</v>
      </c>
      <c r="S1468">
        <v>7.7874797687029373E-2</v>
      </c>
      <c r="T1468">
        <v>0.82520965257175671</v>
      </c>
      <c r="U1468">
        <v>0</v>
      </c>
      <c r="V1468">
        <v>9.2620914322023587E-2</v>
      </c>
      <c r="W1468">
        <v>5.1267312841574812E-2</v>
      </c>
      <c r="X1468">
        <v>6.6645449997226516E-3</v>
      </c>
      <c r="Y1468">
        <v>2.49737810972006E-3</v>
      </c>
    </row>
    <row r="1469" spans="1:25" x14ac:dyDescent="0.25">
      <c r="A1469" s="1096"/>
      <c r="B1469" s="1455">
        <v>1219</v>
      </c>
      <c r="C1469" s="1100">
        <v>0.95529221403502707</v>
      </c>
      <c r="D1469" s="1100">
        <v>0.99482858567374488</v>
      </c>
      <c r="E1469" s="1100">
        <v>0.98241077001089216</v>
      </c>
      <c r="F1469" s="1100">
        <v>1.0175266735962458</v>
      </c>
      <c r="G1469" s="1100">
        <v>1.0261872739386906</v>
      </c>
      <c r="H1469" s="1100">
        <v>1.0352532909392298</v>
      </c>
      <c r="I1469" s="1100">
        <v>1.0031627127964018</v>
      </c>
      <c r="K1469">
        <v>1.1813466658662286</v>
      </c>
      <c r="L1469">
        <v>0</v>
      </c>
      <c r="M1469">
        <v>9.0186692755281144E-4</v>
      </c>
      <c r="N1469">
        <v>7.8699495775605907E-2</v>
      </c>
      <c r="O1469">
        <v>1.0850068853318628E-2</v>
      </c>
      <c r="P1469">
        <v>1.3668123786662585E-2</v>
      </c>
      <c r="Q1469">
        <v>4.6284776435713933E-4</v>
      </c>
      <c r="R1469">
        <v>8.9993753135071686E-4</v>
      </c>
      <c r="S1469">
        <v>7.8207906904814162E-2</v>
      </c>
      <c r="T1469">
        <v>0.84332879352703949</v>
      </c>
      <c r="U1469">
        <v>0</v>
      </c>
      <c r="V1469">
        <v>9.4372570963181246E-2</v>
      </c>
      <c r="W1469">
        <v>5.2247346097403349E-2</v>
      </c>
      <c r="X1469">
        <v>7.0621082940399401E-3</v>
      </c>
      <c r="Y1469">
        <v>2.4493332960091718E-3</v>
      </c>
    </row>
    <row r="1470" spans="1:25" x14ac:dyDescent="0.25">
      <c r="A1470" s="1096"/>
      <c r="B1470" s="1455">
        <v>1220</v>
      </c>
      <c r="C1470" s="1100">
        <v>1.0030071677081431</v>
      </c>
      <c r="D1470" s="1100">
        <v>0.99677158164511936</v>
      </c>
      <c r="E1470" s="1100">
        <v>1.001817143324663</v>
      </c>
      <c r="F1470" s="1100">
        <v>0.98141680217447003</v>
      </c>
      <c r="G1470" s="1100">
        <v>0.9805698509644768</v>
      </c>
      <c r="H1470" s="1100">
        <v>0.99560189862117687</v>
      </c>
      <c r="I1470" s="1100">
        <v>0.98072145370561503</v>
      </c>
      <c r="K1470">
        <v>1.129348417188301</v>
      </c>
      <c r="L1470">
        <v>0</v>
      </c>
      <c r="M1470">
        <v>7.9289182319652982E-4</v>
      </c>
      <c r="N1470">
        <v>7.3364194467169366E-2</v>
      </c>
      <c r="O1470">
        <v>1.0332181176805897E-2</v>
      </c>
      <c r="P1470">
        <v>1.3303976330732457E-2</v>
      </c>
      <c r="Q1470">
        <v>4.494760733945163E-4</v>
      </c>
      <c r="R1470">
        <v>7.9112800507235106E-4</v>
      </c>
      <c r="S1470">
        <v>7.1191819318548691E-2</v>
      </c>
      <c r="T1470">
        <v>0.81213505547371612</v>
      </c>
      <c r="U1470">
        <v>0</v>
      </c>
      <c r="V1470">
        <v>9.1190957766129135E-2</v>
      </c>
      <c r="W1470">
        <v>4.8143302488328044E-2</v>
      </c>
      <c r="X1470">
        <v>7.0860282770703479E-3</v>
      </c>
      <c r="Y1470">
        <v>2.1531896345301574E-3</v>
      </c>
    </row>
    <row r="1471" spans="1:25" x14ac:dyDescent="0.25">
      <c r="A1471" s="1096"/>
      <c r="B1471" s="1455">
        <v>1221</v>
      </c>
      <c r="C1471" s="1100">
        <v>1.0130049181934446</v>
      </c>
      <c r="D1471" s="1100">
        <v>1.0055393114372757</v>
      </c>
      <c r="E1471" s="1100">
        <v>0.9805796025689274</v>
      </c>
      <c r="F1471" s="1100">
        <v>1.0114776937720733</v>
      </c>
      <c r="G1471" s="1100">
        <v>1.0222554698135256</v>
      </c>
      <c r="H1471" s="1100">
        <v>1.012905902727576</v>
      </c>
      <c r="I1471" s="1100">
        <v>1.0141224244315763</v>
      </c>
      <c r="K1471">
        <v>1.1577491501954602</v>
      </c>
      <c r="L1471">
        <v>0</v>
      </c>
      <c r="M1471">
        <v>8.317142450381084E-4</v>
      </c>
      <c r="N1471">
        <v>7.2173396855142E-2</v>
      </c>
      <c r="O1471">
        <v>1.0187597273643063E-2</v>
      </c>
      <c r="P1471">
        <v>1.3494510981909246E-2</v>
      </c>
      <c r="Q1471">
        <v>4.3378028533363452E-4</v>
      </c>
      <c r="R1471">
        <v>8.2989567255391011E-4</v>
      </c>
      <c r="S1471">
        <v>7.3240955167912222E-2</v>
      </c>
      <c r="T1471">
        <v>0.83843911590477427</v>
      </c>
      <c r="U1471">
        <v>0</v>
      </c>
      <c r="V1471">
        <v>9.2726632904707978E-2</v>
      </c>
      <c r="W1471">
        <v>4.7967718548608332E-2</v>
      </c>
      <c r="X1471">
        <v>6.8285584002549761E-3</v>
      </c>
      <c r="Y1471">
        <v>2.258702445656811E-3</v>
      </c>
    </row>
    <row r="1472" spans="1:25" x14ac:dyDescent="0.25">
      <c r="A1472" s="1096"/>
      <c r="B1472" s="1455">
        <v>1222</v>
      </c>
      <c r="C1472" s="1100">
        <v>0.97570105660210971</v>
      </c>
      <c r="D1472" s="1100">
        <v>0.99772248066214275</v>
      </c>
      <c r="E1472" s="1100">
        <v>0.98032180672938907</v>
      </c>
      <c r="F1472" s="1100">
        <v>0.96073638698826425</v>
      </c>
      <c r="G1472" s="1100">
        <v>0.99923802379627058</v>
      </c>
      <c r="H1472" s="1100">
        <v>1.0051377484453634</v>
      </c>
      <c r="I1472" s="1100">
        <v>0.97662190579930419</v>
      </c>
      <c r="K1472">
        <v>1.1194544754721176</v>
      </c>
      <c r="L1472">
        <v>0</v>
      </c>
      <c r="M1472">
        <v>8.6002810291978965E-4</v>
      </c>
      <c r="N1472">
        <v>7.457092911781675E-2</v>
      </c>
      <c r="O1472">
        <v>1.0610081837997415E-2</v>
      </c>
      <c r="P1472">
        <v>1.2926075762890565E-2</v>
      </c>
      <c r="Q1472">
        <v>4.5165103378277873E-4</v>
      </c>
      <c r="R1472">
        <v>8.5813308798404048E-4</v>
      </c>
      <c r="S1472">
        <v>7.3205932814039726E-2</v>
      </c>
      <c r="T1472">
        <v>0.79639493365186131</v>
      </c>
      <c r="U1472">
        <v>0</v>
      </c>
      <c r="V1472">
        <v>9.2677297952751994E-2</v>
      </c>
      <c r="W1472">
        <v>4.9568873668564807E-2</v>
      </c>
      <c r="X1472">
        <v>6.7150392653514855E-3</v>
      </c>
      <c r="Y1472">
        <v>2.3355553819961314E-3</v>
      </c>
    </row>
    <row r="1473" spans="1:25" x14ac:dyDescent="0.25">
      <c r="A1473" s="1096"/>
      <c r="B1473" s="1455">
        <v>1223</v>
      </c>
      <c r="C1473" s="1100">
        <v>0.98749647601369717</v>
      </c>
      <c r="D1473" s="1100">
        <v>0.98181637418441625</v>
      </c>
      <c r="E1473" s="1100">
        <v>0.99774715258810254</v>
      </c>
      <c r="F1473" s="1100">
        <v>0.97326878867962696</v>
      </c>
      <c r="G1473" s="1100">
        <v>0.9886947536437739</v>
      </c>
      <c r="H1473" s="1100">
        <v>1.0273352031901997</v>
      </c>
      <c r="I1473" s="1100">
        <v>0.98715465475627029</v>
      </c>
      <c r="K1473">
        <v>1.1335945518848629</v>
      </c>
      <c r="L1473">
        <v>0</v>
      </c>
      <c r="M1473">
        <v>8.4314329893370231E-4</v>
      </c>
      <c r="N1473">
        <v>7.7065713849030881E-2</v>
      </c>
      <c r="O1473">
        <v>1.0556762399578744E-2</v>
      </c>
      <c r="P1473">
        <v>1.3232493222631207E-2</v>
      </c>
      <c r="Q1473">
        <v>4.5737073036061137E-4</v>
      </c>
      <c r="R1473">
        <v>8.4132562993368928E-4</v>
      </c>
      <c r="S1473">
        <v>7.4647242260991412E-2</v>
      </c>
      <c r="T1473">
        <v>0.80565474714722662</v>
      </c>
      <c r="U1473">
        <v>0</v>
      </c>
      <c r="V1473">
        <v>9.1925768052963208E-2</v>
      </c>
      <c r="W1473">
        <v>5.0694828854511952E-2</v>
      </c>
      <c r="X1473">
        <v>7.0716320148083564E-3</v>
      </c>
      <c r="Y1473">
        <v>2.2898110217601324E-3</v>
      </c>
    </row>
    <row r="1474" spans="1:25" x14ac:dyDescent="0.25">
      <c r="A1474" s="1096"/>
      <c r="B1474" s="1455">
        <v>1224</v>
      </c>
      <c r="C1474" s="1100">
        <v>0.99043672688389883</v>
      </c>
      <c r="D1474" s="1100">
        <v>1.0195648203517966</v>
      </c>
      <c r="E1474" s="1100">
        <v>0.99287053951323678</v>
      </c>
      <c r="F1474" s="1100">
        <v>0.99763248226381185</v>
      </c>
      <c r="G1474" s="1100">
        <v>1.0071856890528965</v>
      </c>
      <c r="H1474" s="1100">
        <v>0.98320924507632945</v>
      </c>
      <c r="I1474" s="1100">
        <v>0.98037003575809123</v>
      </c>
      <c r="K1474">
        <v>1.1425808728034714</v>
      </c>
      <c r="L1474">
        <v>0</v>
      </c>
      <c r="M1474">
        <v>8.0053458987986781E-4</v>
      </c>
      <c r="N1474">
        <v>7.2093648888424705E-2</v>
      </c>
      <c r="O1474">
        <v>1.0366181229708395E-2</v>
      </c>
      <c r="P1474">
        <v>1.3418568551662211E-2</v>
      </c>
      <c r="Q1474">
        <v>4.4691200861864767E-4</v>
      </c>
      <c r="R1474">
        <v>7.9873132416256746E-4</v>
      </c>
      <c r="S1474">
        <v>7.073239981101713E-2</v>
      </c>
      <c r="T1474">
        <v>0.82614541291730414</v>
      </c>
      <c r="U1474">
        <v>0</v>
      </c>
      <c r="V1474">
        <v>9.2641136095313201E-2</v>
      </c>
      <c r="W1474">
        <v>4.7562304833479521E-2</v>
      </c>
      <c r="X1474">
        <v>7.0022283710000875E-3</v>
      </c>
      <c r="Y1474">
        <v>2.1738833626602622E-3</v>
      </c>
    </row>
    <row r="1475" spans="1:25" x14ac:dyDescent="0.25">
      <c r="A1475" s="1096"/>
      <c r="B1475" s="1455">
        <v>1225</v>
      </c>
      <c r="C1475" s="1100">
        <v>1.0485977375892472</v>
      </c>
      <c r="D1475" s="1100">
        <v>0.97455037864244076</v>
      </c>
      <c r="E1475" s="1100">
        <v>1.0288163723675341</v>
      </c>
      <c r="F1475" s="1100">
        <v>1.0328694619393231</v>
      </c>
      <c r="G1475" s="1100">
        <v>1.0082000572998016</v>
      </c>
      <c r="H1475" s="1100">
        <v>1.0025181254399007</v>
      </c>
      <c r="I1475" s="1100">
        <v>1.0282677846692829</v>
      </c>
      <c r="K1475">
        <v>1.1713351031448545</v>
      </c>
      <c r="L1475">
        <v>0</v>
      </c>
      <c r="M1475">
        <v>7.2853846987821808E-4</v>
      </c>
      <c r="N1475">
        <v>7.3133304590898743E-2</v>
      </c>
      <c r="O1475">
        <v>9.9810260816797901E-3</v>
      </c>
      <c r="P1475">
        <v>1.4158919473426212E-2</v>
      </c>
      <c r="Q1475">
        <v>4.4604325458958517E-4</v>
      </c>
      <c r="R1475">
        <v>7.2692898895379131E-4</v>
      </c>
      <c r="S1475">
        <v>7.2540589174098488E-2</v>
      </c>
      <c r="T1475">
        <v>0.85288040488601014</v>
      </c>
      <c r="U1475">
        <v>0</v>
      </c>
      <c r="V1475">
        <v>9.130162081609898E-2</v>
      </c>
      <c r="W1475">
        <v>4.723689381916444E-2</v>
      </c>
      <c r="X1475">
        <v>7.6794494539564545E-3</v>
      </c>
      <c r="Y1475">
        <v>1.9784610758554139E-3</v>
      </c>
    </row>
    <row r="1476" spans="1:25" x14ac:dyDescent="0.25">
      <c r="A1476" s="1096"/>
      <c r="B1476" s="1455">
        <v>1226</v>
      </c>
      <c r="C1476" s="1100">
        <v>0.97375094282083408</v>
      </c>
      <c r="D1476" s="1100">
        <v>1.026999034621187</v>
      </c>
      <c r="E1476" s="1100">
        <v>1.0178365928628812</v>
      </c>
      <c r="F1476" s="1100">
        <v>0.98460360264944502</v>
      </c>
      <c r="G1476" s="1100">
        <v>1.0296035844069904</v>
      </c>
      <c r="H1476" s="1100">
        <v>0.98254842402350384</v>
      </c>
      <c r="I1476" s="1100">
        <v>1.0279095994345091</v>
      </c>
      <c r="K1476">
        <v>1.1404646046198048</v>
      </c>
      <c r="L1476">
        <v>0</v>
      </c>
      <c r="M1476">
        <v>7.7036307381885309E-4</v>
      </c>
      <c r="N1476">
        <v>7.4809495248286451E-2</v>
      </c>
      <c r="O1476">
        <v>1.052152500809988E-2</v>
      </c>
      <c r="P1476">
        <v>1.3578832424196241E-2</v>
      </c>
      <c r="Q1476">
        <v>4.6510242195067487E-4</v>
      </c>
      <c r="R1476">
        <v>7.6862660466966407E-4</v>
      </c>
      <c r="S1476">
        <v>7.5154281427807335E-2</v>
      </c>
      <c r="T1476">
        <v>0.8137329609241436</v>
      </c>
      <c r="U1476">
        <v>0</v>
      </c>
      <c r="V1476">
        <v>9.4032026393649007E-2</v>
      </c>
      <c r="W1476">
        <v>4.8630124927800854E-2</v>
      </c>
      <c r="X1476">
        <v>7.4500440728009288E-3</v>
      </c>
      <c r="Y1476">
        <v>2.0919482402186932E-3</v>
      </c>
    </row>
    <row r="1477" spans="1:25" x14ac:dyDescent="0.25">
      <c r="A1477" s="1096"/>
      <c r="B1477" s="1455">
        <v>1227</v>
      </c>
      <c r="C1477" s="1100">
        <v>1.0284373323530644</v>
      </c>
      <c r="D1477" s="1100">
        <v>0.99768417812633658</v>
      </c>
      <c r="E1477" s="1100">
        <v>0.98952968552857135</v>
      </c>
      <c r="F1477" s="1100">
        <v>0.99841408887430116</v>
      </c>
      <c r="G1477" s="1100">
        <v>1.0382534438551831</v>
      </c>
      <c r="H1477" s="1100">
        <v>0.96936069737441721</v>
      </c>
      <c r="I1477" s="1100">
        <v>0.98366636945989261</v>
      </c>
      <c r="K1477">
        <v>1.1357941148852626</v>
      </c>
      <c r="L1477">
        <v>0</v>
      </c>
      <c r="M1477">
        <v>7.7204509646737083E-4</v>
      </c>
      <c r="N1477">
        <v>6.8827058014549539E-2</v>
      </c>
      <c r="O1477">
        <v>1.0069098017224713E-2</v>
      </c>
      <c r="P1477">
        <v>1.3372817038185126E-2</v>
      </c>
      <c r="Q1477">
        <v>4.3264156142612423E-4</v>
      </c>
      <c r="R1477">
        <v>7.7028116040349414E-4</v>
      </c>
      <c r="S1477">
        <v>6.8571551723349181E-2</v>
      </c>
      <c r="T1477">
        <v>0.82701444607818309</v>
      </c>
      <c r="U1477">
        <v>0</v>
      </c>
      <c r="V1477">
        <v>9.3044712149829498E-2</v>
      </c>
      <c r="W1477">
        <v>4.5498120101841538E-2</v>
      </c>
      <c r="X1477">
        <v>6.8689827412347334E-3</v>
      </c>
      <c r="Y1477">
        <v>2.0964513955020279E-3</v>
      </c>
    </row>
    <row r="1478" spans="1:25" x14ac:dyDescent="0.25">
      <c r="A1478" s="1096"/>
      <c r="B1478" s="1455">
        <v>1228</v>
      </c>
      <c r="C1478" s="1100">
        <v>0.99644935394219869</v>
      </c>
      <c r="D1478" s="1100">
        <v>0.97811910406675595</v>
      </c>
      <c r="E1478" s="1100">
        <v>1.0084360074418142</v>
      </c>
      <c r="F1478" s="1100">
        <v>0.97918203962879802</v>
      </c>
      <c r="G1478" s="1100">
        <v>1.0150380900328539</v>
      </c>
      <c r="H1478" s="1100">
        <v>0.98422981933380083</v>
      </c>
      <c r="I1478" s="1100">
        <v>1.001573261568218</v>
      </c>
      <c r="K1478">
        <v>1.1322203059999516</v>
      </c>
      <c r="L1478">
        <v>0</v>
      </c>
      <c r="M1478">
        <v>7.8412936063284406E-4</v>
      </c>
      <c r="N1478">
        <v>7.4016418457949429E-2</v>
      </c>
      <c r="O1478">
        <v>1.0481256479781795E-2</v>
      </c>
      <c r="P1478">
        <v>1.339166599268643E-2</v>
      </c>
      <c r="Q1478">
        <v>4.5899627280986626E-4</v>
      </c>
      <c r="R1478">
        <v>7.8236488049171092E-4</v>
      </c>
      <c r="S1478">
        <v>7.3436609110161352E-2</v>
      </c>
      <c r="T1478">
        <v>0.80985775915973046</v>
      </c>
      <c r="U1478">
        <v>0</v>
      </c>
      <c r="V1478">
        <v>9.2828123788060282E-2</v>
      </c>
      <c r="W1478">
        <v>4.8381376386037733E-2</v>
      </c>
      <c r="X1478">
        <v>7.2405255346904502E-3</v>
      </c>
      <c r="Y1478">
        <v>2.1293392981848961E-3</v>
      </c>
    </row>
    <row r="1479" spans="1:25" x14ac:dyDescent="0.25">
      <c r="A1479" s="1096"/>
      <c r="B1479" s="1455">
        <v>1229</v>
      </c>
      <c r="C1479" s="1100">
        <v>1.0208978862359652</v>
      </c>
      <c r="D1479" s="1100">
        <v>0.99300826836505329</v>
      </c>
      <c r="E1479" s="1100">
        <v>0.99573843066197165</v>
      </c>
      <c r="F1479" s="1100">
        <v>1.0027999808129531</v>
      </c>
      <c r="G1479" s="1100">
        <v>1.0177851814477343</v>
      </c>
      <c r="H1479" s="1100">
        <v>1.0097922395056091</v>
      </c>
      <c r="I1479" s="1100">
        <v>1.0168291997940722</v>
      </c>
      <c r="K1479">
        <v>1.1499137391291296</v>
      </c>
      <c r="L1479">
        <v>0</v>
      </c>
      <c r="M1479">
        <v>8.013350219447813E-4</v>
      </c>
      <c r="N1479">
        <v>7.2798321602660532E-2</v>
      </c>
      <c r="O1479">
        <v>1.0164531855548397E-2</v>
      </c>
      <c r="P1479">
        <v>1.3533025571733755E-2</v>
      </c>
      <c r="Q1479">
        <v>4.394874971476501E-4</v>
      </c>
      <c r="R1479">
        <v>7.9957747200965325E-4</v>
      </c>
      <c r="S1479">
        <v>7.3229927561344721E-2</v>
      </c>
      <c r="T1479">
        <v>0.83023371922649569</v>
      </c>
      <c r="U1479">
        <v>0</v>
      </c>
      <c r="V1479">
        <v>9.2348189941071218E-2</v>
      </c>
      <c r="W1479">
        <v>4.794503618989595E-2</v>
      </c>
      <c r="X1479">
        <v>7.0470709349979982E-3</v>
      </c>
      <c r="Y1479">
        <v>2.1761862981674669E-3</v>
      </c>
    </row>
    <row r="1480" spans="1:25" x14ac:dyDescent="0.25">
      <c r="A1480" s="1096"/>
      <c r="B1480" s="1455">
        <v>1230</v>
      </c>
      <c r="C1480" s="1100">
        <v>1.0040220749665565</v>
      </c>
      <c r="D1480" s="1100">
        <v>0.98030203004289107</v>
      </c>
      <c r="E1480" s="1100">
        <v>1.0174276498695258</v>
      </c>
      <c r="F1480" s="1100">
        <v>0.97361340929634221</v>
      </c>
      <c r="G1480" s="1100">
        <v>0.97956640223334002</v>
      </c>
      <c r="H1480" s="1100">
        <v>0.98553652725215535</v>
      </c>
      <c r="I1480" s="1100">
        <v>1.0058717711684799</v>
      </c>
      <c r="K1480">
        <v>1.1249376740097645</v>
      </c>
      <c r="L1480">
        <v>0</v>
      </c>
      <c r="M1480">
        <v>7.6413888329435924E-4</v>
      </c>
      <c r="N1480">
        <v>7.4114069828232834E-2</v>
      </c>
      <c r="O1480">
        <v>1.0395891686588185E-2</v>
      </c>
      <c r="P1480">
        <v>1.338217696568339E-2</v>
      </c>
      <c r="Q1480">
        <v>4.5936178554797734E-4</v>
      </c>
      <c r="R1480">
        <v>7.6242166640223721E-4</v>
      </c>
      <c r="S1480">
        <v>7.3175866744601956E-2</v>
      </c>
      <c r="T1480">
        <v>0.80467616609256643</v>
      </c>
      <c r="U1480">
        <v>0</v>
      </c>
      <c r="V1480">
        <v>9.1125710528577902E-2</v>
      </c>
      <c r="W1480">
        <v>4.8189611290639013E-2</v>
      </c>
      <c r="X1480">
        <v>7.345475860507553E-3</v>
      </c>
      <c r="Y1480">
        <v>2.075060443712108E-3</v>
      </c>
    </row>
    <row r="1481" spans="1:25" x14ac:dyDescent="0.25">
      <c r="A1481" s="1096"/>
      <c r="B1481" s="1455">
        <v>1231</v>
      </c>
      <c r="C1481" s="1100">
        <v>1.0048198173606306</v>
      </c>
      <c r="D1481" s="1100">
        <v>1.0286165447257214</v>
      </c>
      <c r="E1481" s="1100">
        <v>0.97213993188933479</v>
      </c>
      <c r="F1481" s="1100">
        <v>1.023380219618955</v>
      </c>
      <c r="G1481" s="1100">
        <v>1.0374791523885556</v>
      </c>
      <c r="H1481" s="1100">
        <v>1.0132069948764135</v>
      </c>
      <c r="I1481" s="1100">
        <v>1.0386140188513908</v>
      </c>
      <c r="K1481">
        <v>1.1697630198924085</v>
      </c>
      <c r="L1481">
        <v>0</v>
      </c>
      <c r="M1481">
        <v>8.4578394519142677E-4</v>
      </c>
      <c r="N1481">
        <v>7.1543436316452047E-2</v>
      </c>
      <c r="O1481">
        <v>1.0175078992448105E-2</v>
      </c>
      <c r="P1481">
        <v>1.3578800721809718E-2</v>
      </c>
      <c r="Q1481">
        <v>4.2953925847934003E-4</v>
      </c>
      <c r="R1481">
        <v>8.4393515837499625E-4</v>
      </c>
      <c r="S1481">
        <v>7.4749579651001777E-2</v>
      </c>
      <c r="T1481">
        <v>0.84888383395749734</v>
      </c>
      <c r="U1481">
        <v>0</v>
      </c>
      <c r="V1481">
        <v>9.3576035928543036E-2</v>
      </c>
      <c r="W1481">
        <v>4.7792671893536753E-2</v>
      </c>
      <c r="X1481">
        <v>6.7389786615087424E-3</v>
      </c>
      <c r="Y1481">
        <v>2.2969132979465505E-3</v>
      </c>
    </row>
    <row r="1482" spans="1:25" x14ac:dyDescent="0.25">
      <c r="A1482" s="1096"/>
      <c r="B1482" s="1455">
        <v>1232</v>
      </c>
      <c r="C1482" s="1100">
        <v>1.0353027265611052</v>
      </c>
      <c r="D1482" s="1100">
        <v>1.0233560579401682</v>
      </c>
      <c r="E1482" s="1100">
        <v>0.99738835344126919</v>
      </c>
      <c r="F1482" s="1100">
        <v>1.0234123731423601</v>
      </c>
      <c r="G1482" s="1100">
        <v>1.0305306568822965</v>
      </c>
      <c r="H1482" s="1100">
        <v>1.0017479930933066</v>
      </c>
      <c r="I1482" s="1100">
        <v>1.009908514821229</v>
      </c>
      <c r="K1482">
        <v>1.1601349185276941</v>
      </c>
      <c r="L1482">
        <v>0</v>
      </c>
      <c r="M1482">
        <v>7.718633290715799E-4</v>
      </c>
      <c r="N1482">
        <v>7.0470181618337221E-2</v>
      </c>
      <c r="O1482">
        <v>9.9036530976334518E-3</v>
      </c>
      <c r="P1482">
        <v>1.3743414073459106E-2</v>
      </c>
      <c r="Q1482">
        <v>4.2891990217737268E-4</v>
      </c>
      <c r="R1482">
        <v>7.7015682430726202E-4</v>
      </c>
      <c r="S1482">
        <v>7.0307118951559402E-2</v>
      </c>
      <c r="T1482">
        <v>0.84718706174486647</v>
      </c>
      <c r="U1482">
        <v>0</v>
      </c>
      <c r="V1482">
        <v>9.2555583554380469E-2</v>
      </c>
      <c r="W1482">
        <v>4.636610752397026E-2</v>
      </c>
      <c r="X1482">
        <v>7.0784715724392343E-3</v>
      </c>
      <c r="Y1482">
        <v>2.0961129936354675E-3</v>
      </c>
    </row>
    <row r="1483" spans="1:25" x14ac:dyDescent="0.25">
      <c r="A1483" s="1096"/>
      <c r="B1483" s="1455">
        <v>1233</v>
      </c>
      <c r="C1483" s="1100">
        <v>0.99227443319671405</v>
      </c>
      <c r="D1483" s="1100">
        <v>0.99117666812485095</v>
      </c>
      <c r="E1483" s="1100">
        <v>0.96581274531523453</v>
      </c>
      <c r="F1483" s="1100">
        <v>1.0007539157032279</v>
      </c>
      <c r="G1483" s="1100">
        <v>1.0050181291411011</v>
      </c>
      <c r="H1483" s="1100">
        <v>0.96793260048863039</v>
      </c>
      <c r="I1483" s="1100">
        <v>0.98795258866809554</v>
      </c>
      <c r="K1483">
        <v>1.1441668286728615</v>
      </c>
      <c r="L1483">
        <v>0</v>
      </c>
      <c r="M1483">
        <v>8.4134797701061487E-4</v>
      </c>
      <c r="N1483">
        <v>6.9810486737963154E-2</v>
      </c>
      <c r="O1483">
        <v>1.0455591475613646E-2</v>
      </c>
      <c r="P1483">
        <v>1.3212281735410215E-2</v>
      </c>
      <c r="Q1483">
        <v>4.3853427935352379E-4</v>
      </c>
      <c r="R1483">
        <v>8.3942286450448735E-4</v>
      </c>
      <c r="S1483">
        <v>7.1536151950175736E-2</v>
      </c>
      <c r="T1483">
        <v>0.83054109749371863</v>
      </c>
      <c r="U1483">
        <v>0</v>
      </c>
      <c r="V1483">
        <v>9.2498531460860539E-2</v>
      </c>
      <c r="W1483">
        <v>4.6815103052822556E-2</v>
      </c>
      <c r="X1483">
        <v>6.5763432779403818E-3</v>
      </c>
      <c r="Y1483">
        <v>2.2846323215082996E-3</v>
      </c>
    </row>
    <row r="1484" spans="1:25" x14ac:dyDescent="0.25">
      <c r="A1484" s="1096"/>
      <c r="B1484" s="1455">
        <v>1234</v>
      </c>
      <c r="C1484" s="1100">
        <v>1.0094819594203861</v>
      </c>
      <c r="D1484" s="1100">
        <v>1.0067398886325725</v>
      </c>
      <c r="E1484" s="1100">
        <v>0.97186468486739896</v>
      </c>
      <c r="F1484" s="1100">
        <v>1.0158463149074854</v>
      </c>
      <c r="G1484" s="1100">
        <v>1.0178509002888776</v>
      </c>
      <c r="H1484" s="1100">
        <v>1.0404998369176794</v>
      </c>
      <c r="I1484" s="1100">
        <v>1.0032402104065119</v>
      </c>
      <c r="K1484">
        <v>1.1652517974395906</v>
      </c>
      <c r="L1484">
        <v>0</v>
      </c>
      <c r="M1484">
        <v>8.7251772378571155E-4</v>
      </c>
      <c r="N1484">
        <v>7.3747563506450203E-2</v>
      </c>
      <c r="O1484">
        <v>1.0215465095947491E-2</v>
      </c>
      <c r="P1484">
        <v>1.3466917341093679E-2</v>
      </c>
      <c r="Q1484">
        <v>4.3112298438008779E-4</v>
      </c>
      <c r="R1484">
        <v>8.7066052744574711E-4</v>
      </c>
      <c r="S1484">
        <v>7.3765455572471522E-2</v>
      </c>
      <c r="T1484">
        <v>0.84265329874729078</v>
      </c>
      <c r="U1484">
        <v>0</v>
      </c>
      <c r="V1484">
        <v>9.2622619184503291E-2</v>
      </c>
      <c r="W1484">
        <v>4.927332057352396E-2</v>
      </c>
      <c r="X1484">
        <v>6.7082406877254945E-3</v>
      </c>
      <c r="Y1484">
        <v>2.3696509425415869E-3</v>
      </c>
    </row>
    <row r="1485" spans="1:25" x14ac:dyDescent="0.25">
      <c r="A1485" s="1096"/>
      <c r="B1485" s="1455">
        <v>1235</v>
      </c>
      <c r="C1485" s="1100">
        <v>0.97017692604101691</v>
      </c>
      <c r="D1485" s="1100">
        <v>1.0010388937472079</v>
      </c>
      <c r="E1485" s="1100">
        <v>1.0149325191070093</v>
      </c>
      <c r="F1485" s="1100">
        <v>0.99265065121173413</v>
      </c>
      <c r="G1485" s="1100">
        <v>0.98932555898920926</v>
      </c>
      <c r="H1485" s="1100">
        <v>1.0151203659177983</v>
      </c>
      <c r="I1485" s="1100">
        <v>0.97281211448791294</v>
      </c>
      <c r="K1485">
        <v>1.1501181105123286</v>
      </c>
      <c r="L1485">
        <v>0</v>
      </c>
      <c r="M1485">
        <v>8.1194453741329279E-4</v>
      </c>
      <c r="N1485">
        <v>7.8165167953696976E-2</v>
      </c>
      <c r="O1485">
        <v>1.0668007409855629E-2</v>
      </c>
      <c r="P1485">
        <v>1.3601017775517314E-2</v>
      </c>
      <c r="Q1485">
        <v>4.7021543547413436E-4</v>
      </c>
      <c r="R1485">
        <v>8.1017306496851372E-4</v>
      </c>
      <c r="S1485">
        <v>7.3658834389586966E-2</v>
      </c>
      <c r="T1485">
        <v>0.82057282400343823</v>
      </c>
      <c r="U1485">
        <v>0</v>
      </c>
      <c r="V1485">
        <v>9.2403728515451949E-2</v>
      </c>
      <c r="W1485">
        <v>5.0898139798144601E-2</v>
      </c>
      <c r="X1485">
        <v>7.4769226942418554E-3</v>
      </c>
      <c r="Y1485">
        <v>2.2050240093652047E-3</v>
      </c>
    </row>
    <row r="1486" spans="1:25" x14ac:dyDescent="0.25">
      <c r="A1486" s="1096"/>
      <c r="B1486" s="1455">
        <v>1236</v>
      </c>
      <c r="C1486" s="1100">
        <v>0.98750171179742408</v>
      </c>
      <c r="D1486" s="1100">
        <v>1.0410184325145901</v>
      </c>
      <c r="E1486" s="1100">
        <v>1.0350681971559839</v>
      </c>
      <c r="F1486" s="1100">
        <v>1.0022770768505527</v>
      </c>
      <c r="G1486" s="1100">
        <v>0.96668292332873595</v>
      </c>
      <c r="H1486" s="1100">
        <v>1.0127686384066514</v>
      </c>
      <c r="I1486" s="1100">
        <v>0.99129980502156512</v>
      </c>
      <c r="K1486">
        <v>1.1511818037274548</v>
      </c>
      <c r="L1486">
        <v>0</v>
      </c>
      <c r="M1486">
        <v>7.5131237194342915E-4</v>
      </c>
      <c r="N1486">
        <v>7.6855823923112479E-2</v>
      </c>
      <c r="O1486">
        <v>1.032454192699216E-2</v>
      </c>
      <c r="P1486">
        <v>1.3855285435093411E-2</v>
      </c>
      <c r="Q1486">
        <v>4.6425239979144503E-4</v>
      </c>
      <c r="R1486">
        <v>7.4966937833507823E-4</v>
      </c>
      <c r="S1486">
        <v>7.2207452784004658E-2</v>
      </c>
      <c r="T1486">
        <v>0.827210729198116</v>
      </c>
      <c r="U1486">
        <v>0</v>
      </c>
      <c r="V1486">
        <v>9.0991562757380282E-2</v>
      </c>
      <c r="W1486">
        <v>4.9461723542146264E-2</v>
      </c>
      <c r="X1486">
        <v>7.7717218350411505E-3</v>
      </c>
      <c r="Y1486">
        <v>2.0403529193839319E-3</v>
      </c>
    </row>
    <row r="1487" spans="1:25" x14ac:dyDescent="0.25">
      <c r="A1487" s="1096"/>
      <c r="B1487" s="1455">
        <v>1237</v>
      </c>
      <c r="C1487" s="1100">
        <v>1.0167812452812184</v>
      </c>
      <c r="D1487" s="1100">
        <v>0.98190564698077398</v>
      </c>
      <c r="E1487" s="1100">
        <v>1.0009676664103471</v>
      </c>
      <c r="F1487" s="1100">
        <v>0.99927947793488492</v>
      </c>
      <c r="G1487" s="1100">
        <v>0.99139503438885246</v>
      </c>
      <c r="H1487" s="1100">
        <v>0.96833180019643883</v>
      </c>
      <c r="I1487" s="1100">
        <v>0.99896590385426431</v>
      </c>
      <c r="K1487">
        <v>1.1398682914561573</v>
      </c>
      <c r="L1487">
        <v>0</v>
      </c>
      <c r="M1487">
        <v>7.6666335943891049E-4</v>
      </c>
      <c r="N1487">
        <v>7.0751095842573192E-2</v>
      </c>
      <c r="O1487">
        <v>1.0253383686628852E-2</v>
      </c>
      <c r="P1487">
        <v>1.349692778263787E-2</v>
      </c>
      <c r="Q1487">
        <v>4.4566776839992638E-4</v>
      </c>
      <c r="R1487">
        <v>7.6490985814238618E-4</v>
      </c>
      <c r="S1487">
        <v>7.0989379098840871E-2</v>
      </c>
      <c r="T1487">
        <v>0.826972810540621</v>
      </c>
      <c r="U1487">
        <v>0</v>
      </c>
      <c r="V1487">
        <v>9.1318899103913193E-2</v>
      </c>
      <c r="W1487">
        <v>4.6451947083996442E-2</v>
      </c>
      <c r="X1487">
        <v>7.1081015684446927E-3</v>
      </c>
      <c r="Y1487">
        <v>2.0818324813966053E-3</v>
      </c>
    </row>
    <row r="1488" spans="1:25" x14ac:dyDescent="0.25">
      <c r="A1488" s="1096"/>
      <c r="B1488" s="1455">
        <v>1238</v>
      </c>
      <c r="C1488" s="1100">
        <v>1.0102839708600537</v>
      </c>
      <c r="D1488" s="1100">
        <v>1.0007139945705883</v>
      </c>
      <c r="E1488" s="1100">
        <v>0.97760151400547213</v>
      </c>
      <c r="F1488" s="1100">
        <v>0.98597913881683474</v>
      </c>
      <c r="G1488" s="1100">
        <v>1.0153576338159467</v>
      </c>
      <c r="H1488" s="1100">
        <v>1.0062259913065961</v>
      </c>
      <c r="I1488" s="1100">
        <v>1.0216975192952786</v>
      </c>
      <c r="K1488">
        <v>1.1363436521392651</v>
      </c>
      <c r="L1488">
        <v>0</v>
      </c>
      <c r="M1488">
        <v>8.3517658520829955E-4</v>
      </c>
      <c r="N1488">
        <v>7.1822653513689355E-2</v>
      </c>
      <c r="O1488">
        <v>1.023374755124529E-2</v>
      </c>
      <c r="P1488">
        <v>1.3188959466327617E-2</v>
      </c>
      <c r="Q1488">
        <v>4.3442769042644137E-4</v>
      </c>
      <c r="R1488">
        <v>8.3333831919949733E-4</v>
      </c>
      <c r="S1488">
        <v>7.3891161111259637E-2</v>
      </c>
      <c r="T1488">
        <v>0.81749911330937475</v>
      </c>
      <c r="U1488">
        <v>0</v>
      </c>
      <c r="V1488">
        <v>9.249715686728352E-2</v>
      </c>
      <c r="W1488">
        <v>4.7820585830574872E-2</v>
      </c>
      <c r="X1488">
        <v>6.6896128701349955E-3</v>
      </c>
      <c r="Y1488">
        <v>2.2680721949579381E-3</v>
      </c>
    </row>
    <row r="1489" spans="1:25" x14ac:dyDescent="0.25">
      <c r="A1489" s="1096"/>
      <c r="B1489" s="1455">
        <v>1239</v>
      </c>
      <c r="C1489" s="1100">
        <v>0.99748516484748428</v>
      </c>
      <c r="D1489" s="1100">
        <v>1.0027766207436934</v>
      </c>
      <c r="E1489" s="1100">
        <v>1.012262979807512</v>
      </c>
      <c r="F1489" s="1100">
        <v>0.97896059173640293</v>
      </c>
      <c r="G1489" s="1100">
        <v>1.0077128129008854</v>
      </c>
      <c r="H1489" s="1100">
        <v>1.0314692297977488</v>
      </c>
      <c r="I1489" s="1100">
        <v>1.0002806807769691</v>
      </c>
      <c r="K1489">
        <v>1.1371616881783428</v>
      </c>
      <c r="L1489">
        <v>0</v>
      </c>
      <c r="M1489">
        <v>8.0634000815762877E-4</v>
      </c>
      <c r="N1489">
        <v>7.7005360899357445E-2</v>
      </c>
      <c r="O1489">
        <v>1.0367875632507866E-2</v>
      </c>
      <c r="P1489">
        <v>1.3430449134533706E-2</v>
      </c>
      <c r="Q1489">
        <v>4.557710145724543E-4</v>
      </c>
      <c r="R1489">
        <v>8.0460864763925099E-4</v>
      </c>
      <c r="S1489">
        <v>7.4262961102681851E-2</v>
      </c>
      <c r="T1489">
        <v>0.80942782804294666</v>
      </c>
      <c r="U1489">
        <v>0</v>
      </c>
      <c r="V1489">
        <v>9.2489741770019021E-2</v>
      </c>
      <c r="W1489">
        <v>5.0221689851673301E-2</v>
      </c>
      <c r="X1489">
        <v>7.3118625908625444E-3</v>
      </c>
      <c r="Y1489">
        <v>2.1898794997046319E-3</v>
      </c>
    </row>
    <row r="1490" spans="1:25" x14ac:dyDescent="0.25">
      <c r="A1490" s="1096"/>
      <c r="B1490" s="1455">
        <v>1240</v>
      </c>
      <c r="C1490" s="1100">
        <v>0.95328952024479585</v>
      </c>
      <c r="D1490" s="1100">
        <v>0.99470795783858545</v>
      </c>
      <c r="E1490" s="1100">
        <v>0.99601463220491515</v>
      </c>
      <c r="F1490" s="1100">
        <v>0.98698109946439894</v>
      </c>
      <c r="G1490" s="1100">
        <v>1.0182372805626296</v>
      </c>
      <c r="H1490" s="1100">
        <v>1.0023808011830322</v>
      </c>
      <c r="I1490" s="1100">
        <v>0.98311243554826877</v>
      </c>
      <c r="K1490">
        <v>1.1491857878704383</v>
      </c>
      <c r="L1490">
        <v>0</v>
      </c>
      <c r="M1490">
        <v>8.5079821596835566E-4</v>
      </c>
      <c r="N1490">
        <v>7.7355156312134424E-2</v>
      </c>
      <c r="O1490">
        <v>1.0878062949410594E-2</v>
      </c>
      <c r="P1490">
        <v>1.3411424581100274E-2</v>
      </c>
      <c r="Q1490">
        <v>4.7046959392979624E-4</v>
      </c>
      <c r="R1490">
        <v>8.4891838236559138E-4</v>
      </c>
      <c r="S1490">
        <v>7.5445316106533794E-2</v>
      </c>
      <c r="T1490">
        <v>0.81711893683769432</v>
      </c>
      <c r="U1490">
        <v>0</v>
      </c>
      <c r="V1490">
        <v>9.4089095783365301E-2</v>
      </c>
      <c r="W1490">
        <v>5.0937781517410081E-2</v>
      </c>
      <c r="X1490">
        <v>7.1709480315311231E-3</v>
      </c>
      <c r="Y1490">
        <v>2.3104759909296029E-3</v>
      </c>
    </row>
    <row r="1491" spans="1:25" x14ac:dyDescent="0.25">
      <c r="A1491" s="1096"/>
      <c r="B1491" s="1455">
        <v>1241</v>
      </c>
      <c r="C1491" s="1100">
        <v>0.99673908976337844</v>
      </c>
      <c r="D1491" s="1100">
        <v>0.99585527246207495</v>
      </c>
      <c r="E1491" s="1100">
        <v>1.0024177499924578</v>
      </c>
      <c r="F1491" s="1100">
        <v>1.0018842806671118</v>
      </c>
      <c r="G1491" s="1100">
        <v>1.0090959410089602</v>
      </c>
      <c r="H1491" s="1100">
        <v>1.0213247654153954</v>
      </c>
      <c r="I1491" s="1100">
        <v>0.97173017616202917</v>
      </c>
      <c r="K1491">
        <v>1.1530363978679123</v>
      </c>
      <c r="L1491">
        <v>0</v>
      </c>
      <c r="M1491">
        <v>8.1777373928431838E-4</v>
      </c>
      <c r="N1491">
        <v>7.5808113950577294E-2</v>
      </c>
      <c r="O1491">
        <v>1.0401179194350333E-2</v>
      </c>
      <c r="P1491">
        <v>1.3571049440448527E-2</v>
      </c>
      <c r="Q1491">
        <v>4.5275059310315147E-4</v>
      </c>
      <c r="R1491">
        <v>8.160003875862876E-4</v>
      </c>
      <c r="S1491">
        <v>7.2038931177561258E-2</v>
      </c>
      <c r="T1491">
        <v>0.82903236110780065</v>
      </c>
      <c r="U1491">
        <v>0</v>
      </c>
      <c r="V1491">
        <v>9.2565981848822185E-2</v>
      </c>
      <c r="W1491">
        <v>4.9729334405939372E-2</v>
      </c>
      <c r="X1491">
        <v>7.2175854404525073E-3</v>
      </c>
      <c r="Y1491">
        <v>2.2208840605544011E-3</v>
      </c>
    </row>
    <row r="1492" spans="1:25" x14ac:dyDescent="0.25">
      <c r="A1492" s="1096"/>
      <c r="B1492" s="1455">
        <v>1242</v>
      </c>
      <c r="C1492" s="1100">
        <v>1.0092170328540713</v>
      </c>
      <c r="D1492" s="1100">
        <v>1.0173406921565447</v>
      </c>
      <c r="E1492" s="1100">
        <v>0.99453317590943957</v>
      </c>
      <c r="F1492" s="1100">
        <v>0.98349486377536444</v>
      </c>
      <c r="G1492" s="1100">
        <v>0.99984627510484891</v>
      </c>
      <c r="H1492" s="1100">
        <v>1.0308055966131606</v>
      </c>
      <c r="I1492" s="1100">
        <v>0.99031588187578767</v>
      </c>
      <c r="K1492">
        <v>1.1347510588512382</v>
      </c>
      <c r="L1492">
        <v>0</v>
      </c>
      <c r="M1492">
        <v>8.2155400805033086E-4</v>
      </c>
      <c r="N1492">
        <v>7.4367099777486845E-2</v>
      </c>
      <c r="O1492">
        <v>1.0182704715517221E-2</v>
      </c>
      <c r="P1492">
        <v>1.3282765891377352E-2</v>
      </c>
      <c r="Q1492">
        <v>4.3973873971526697E-4</v>
      </c>
      <c r="R1492">
        <v>8.1978884458988566E-4</v>
      </c>
      <c r="S1492">
        <v>7.2087937387503603E-2</v>
      </c>
      <c r="T1492">
        <v>0.81432937553140639</v>
      </c>
      <c r="U1492">
        <v>0</v>
      </c>
      <c r="V1492">
        <v>9.1861973384907716E-2</v>
      </c>
      <c r="W1492">
        <v>4.9013467492012366E-2</v>
      </c>
      <c r="X1492">
        <v>6.956566103118531E-3</v>
      </c>
      <c r="Y1492">
        <v>2.2311949916536795E-3</v>
      </c>
    </row>
    <row r="1493" spans="1:25" x14ac:dyDescent="0.25">
      <c r="A1493" s="1096"/>
      <c r="B1493" s="1455">
        <v>1243</v>
      </c>
      <c r="C1493" s="1100">
        <v>0.97729886215489903</v>
      </c>
      <c r="D1493" s="1100">
        <v>0.97192922646685442</v>
      </c>
      <c r="E1493" s="1100">
        <v>1.0093222380956093</v>
      </c>
      <c r="F1493" s="1100">
        <v>1.0106523680144974</v>
      </c>
      <c r="G1493" s="1100">
        <v>0.97815296141319596</v>
      </c>
      <c r="H1493" s="1100">
        <v>0.97736628149794857</v>
      </c>
      <c r="I1493" s="1100">
        <v>1.0417109066940033</v>
      </c>
      <c r="K1493">
        <v>1.1643052531662068</v>
      </c>
      <c r="L1493">
        <v>0</v>
      </c>
      <c r="M1493">
        <v>7.9447413368315958E-4</v>
      </c>
      <c r="N1493">
        <v>7.5192633805052922E-2</v>
      </c>
      <c r="O1493">
        <v>1.0714112705315746E-2</v>
      </c>
      <c r="P1493">
        <v>1.3802340993638742E-2</v>
      </c>
      <c r="Q1493">
        <v>4.6960964201634879E-4</v>
      </c>
      <c r="R1493">
        <v>7.9267382080587404E-4</v>
      </c>
      <c r="S1493">
        <v>7.7831302511239361E-2</v>
      </c>
      <c r="T1493">
        <v>0.83582706583884836</v>
      </c>
      <c r="U1493">
        <v>0</v>
      </c>
      <c r="V1493">
        <v>9.1738949897751595E-2</v>
      </c>
      <c r="W1493">
        <v>4.9124516859467303E-2</v>
      </c>
      <c r="X1493">
        <v>7.4491243903746073E-3</v>
      </c>
      <c r="Y1493">
        <v>2.1573968353787876E-3</v>
      </c>
    </row>
    <row r="1494" spans="1:25" x14ac:dyDescent="0.25">
      <c r="A1494" s="1096"/>
      <c r="B1494" s="1455">
        <v>1244</v>
      </c>
      <c r="C1494" s="1100">
        <v>0.99834244256442883</v>
      </c>
      <c r="D1494" s="1100">
        <v>0.99345815637833246</v>
      </c>
      <c r="E1494" s="1100">
        <v>0.99247780679909625</v>
      </c>
      <c r="F1494" s="1100">
        <v>0.97801362909690392</v>
      </c>
      <c r="G1494" s="1100">
        <v>1.0401129305579493</v>
      </c>
      <c r="H1494" s="1100">
        <v>0.99038726388129961</v>
      </c>
      <c r="I1494" s="1100">
        <v>0.97418719824826749</v>
      </c>
      <c r="K1494">
        <v>1.1286996861966947</v>
      </c>
      <c r="L1494">
        <v>0</v>
      </c>
      <c r="M1494">
        <v>8.0899510639301307E-4</v>
      </c>
      <c r="N1494">
        <v>7.2770326777087876E-2</v>
      </c>
      <c r="O1494">
        <v>1.0391224185746008E-2</v>
      </c>
      <c r="P1494">
        <v>1.3214124936223832E-2</v>
      </c>
      <c r="Q1494">
        <v>4.4781413684519635E-4</v>
      </c>
      <c r="R1494">
        <v>8.0718599034689713E-4</v>
      </c>
      <c r="S1494">
        <v>7.0951305363440853E-2</v>
      </c>
      <c r="T1494">
        <v>0.80992444374049621</v>
      </c>
      <c r="U1494">
        <v>0</v>
      </c>
      <c r="V1494">
        <v>9.3850864577276039E-2</v>
      </c>
      <c r="W1494">
        <v>4.8020001690999119E-2</v>
      </c>
      <c r="X1494">
        <v>6.9344957276904736E-3</v>
      </c>
      <c r="Y1494">
        <v>2.196894176934049E-3</v>
      </c>
    </row>
    <row r="1495" spans="1:25" x14ac:dyDescent="0.25">
      <c r="A1495" s="1096"/>
      <c r="B1495" s="1455">
        <v>1245</v>
      </c>
      <c r="C1495" s="1100">
        <v>0.99701483006309588</v>
      </c>
      <c r="D1495" s="1100">
        <v>1.0243866983937624</v>
      </c>
      <c r="E1495" s="1100">
        <v>1.0056657711927943</v>
      </c>
      <c r="F1495" s="1100">
        <v>1.0025197782409039</v>
      </c>
      <c r="G1495" s="1100">
        <v>0.99009621248518964</v>
      </c>
      <c r="H1495" s="1100">
        <v>1.000893565584239</v>
      </c>
      <c r="I1495" s="1100">
        <v>0.96706651715156489</v>
      </c>
      <c r="K1495">
        <v>1.1464823105498634</v>
      </c>
      <c r="L1495">
        <v>0</v>
      </c>
      <c r="M1495">
        <v>7.8686846976598005E-4</v>
      </c>
      <c r="N1495">
        <v>7.365900754277234E-2</v>
      </c>
      <c r="O1495">
        <v>1.0282530413527757E-2</v>
      </c>
      <c r="P1495">
        <v>1.3566928095906677E-2</v>
      </c>
      <c r="Q1495">
        <v>4.4904636925442655E-4</v>
      </c>
      <c r="R1495">
        <v>7.8512730518612848E-4</v>
      </c>
      <c r="S1495">
        <v>6.9849878111106545E-2</v>
      </c>
      <c r="T1495">
        <v>0.82934306833816152</v>
      </c>
      <c r="U1495">
        <v>0</v>
      </c>
      <c r="V1495">
        <v>9.1747354692803942E-2</v>
      </c>
      <c r="W1495">
        <v>4.8226651109210809E-2</v>
      </c>
      <c r="X1495">
        <v>7.2227293341296092E-3</v>
      </c>
      <c r="Y1495">
        <v>2.1368577075700449E-3</v>
      </c>
    </row>
    <row r="1496" spans="1:25" x14ac:dyDescent="0.25">
      <c r="A1496" s="1096"/>
      <c r="B1496" s="1455">
        <v>1246</v>
      </c>
      <c r="C1496" s="1100">
        <v>1.0088094638839566</v>
      </c>
      <c r="D1496" s="1100">
        <v>0.9985168297870447</v>
      </c>
      <c r="E1496" s="1100">
        <v>0.96908088950670901</v>
      </c>
      <c r="F1496" s="1100">
        <v>1.0023717664251999</v>
      </c>
      <c r="G1496" s="1100">
        <v>1.0246024136841181</v>
      </c>
      <c r="H1496" s="1100">
        <v>0.99219478280309725</v>
      </c>
      <c r="I1496" s="1100">
        <v>0.98535139050023113</v>
      </c>
      <c r="K1496">
        <v>1.145819220016294</v>
      </c>
      <c r="L1496">
        <v>0</v>
      </c>
      <c r="M1496">
        <v>8.4011637270242862E-4</v>
      </c>
      <c r="N1496">
        <v>7.0405601766036455E-2</v>
      </c>
      <c r="O1496">
        <v>1.0254966044487933E-2</v>
      </c>
      <c r="P1496">
        <v>1.325744844398612E-2</v>
      </c>
      <c r="Q1496">
        <v>4.3156071870208303E-4</v>
      </c>
      <c r="R1496">
        <v>8.3824108421528089E-4</v>
      </c>
      <c r="S1496">
        <v>7.0879810009822714E-2</v>
      </c>
      <c r="T1496">
        <v>0.8316634474316501</v>
      </c>
      <c r="U1496">
        <v>0</v>
      </c>
      <c r="V1496">
        <v>9.2927456483896262E-2</v>
      </c>
      <c r="W1496">
        <v>4.7120178031585726E-2</v>
      </c>
      <c r="X1496">
        <v>6.5992104694788754E-3</v>
      </c>
      <c r="Y1496">
        <v>2.2814159051348475E-3</v>
      </c>
    </row>
    <row r="1497" spans="1:25" x14ac:dyDescent="0.25">
      <c r="A1497" s="1096"/>
      <c r="B1497" s="1455">
        <v>1247</v>
      </c>
      <c r="C1497" s="1100">
        <v>1.0009999907170086</v>
      </c>
      <c r="D1497" s="1100">
        <v>0.98147356228180771</v>
      </c>
      <c r="E1497" s="1100">
        <v>1.0075966329817223</v>
      </c>
      <c r="F1497" s="1100">
        <v>1.0122011796408545</v>
      </c>
      <c r="G1497" s="1100">
        <v>0.98219509750748957</v>
      </c>
      <c r="H1497" s="1100">
        <v>0.98377302121677723</v>
      </c>
      <c r="I1497" s="1100">
        <v>1.0290907769039956</v>
      </c>
      <c r="K1497">
        <v>1.1591295871937639</v>
      </c>
      <c r="L1497">
        <v>0</v>
      </c>
      <c r="M1497">
        <v>7.8049407542366597E-4</v>
      </c>
      <c r="N1497">
        <v>7.3486711598191187E-2</v>
      </c>
      <c r="O1497">
        <v>1.0419052327802885E-2</v>
      </c>
      <c r="P1497">
        <v>1.3758536937792136E-2</v>
      </c>
      <c r="Q1497">
        <v>4.5588911861108678E-4</v>
      </c>
      <c r="R1497">
        <v>7.7873696004314061E-4</v>
      </c>
      <c r="S1497">
        <v>7.4958649015920073E-2</v>
      </c>
      <c r="T1497">
        <v>0.83722311843680808</v>
      </c>
      <c r="U1497">
        <v>0</v>
      </c>
      <c r="V1497">
        <v>9.1310935434774476E-2</v>
      </c>
      <c r="W1497">
        <v>4.8058948123369312E-2</v>
      </c>
      <c r="X1497">
        <v>7.3400380212068845E-3</v>
      </c>
      <c r="Y1497">
        <v>2.1194652946675426E-3</v>
      </c>
    </row>
    <row r="1498" spans="1:25" x14ac:dyDescent="0.25">
      <c r="A1498" s="1096"/>
      <c r="B1498" s="1455">
        <v>1248</v>
      </c>
      <c r="C1498" s="1100">
        <v>1.0060905191887672</v>
      </c>
      <c r="D1498" s="1100">
        <v>1.0090771648857817</v>
      </c>
      <c r="E1498" s="1100">
        <v>1.0355485227720125</v>
      </c>
      <c r="F1498" s="1100">
        <v>0.99544400720489568</v>
      </c>
      <c r="G1498" s="1100">
        <v>1.0052637629467405</v>
      </c>
      <c r="H1498" s="1100">
        <v>1.0258318925744117</v>
      </c>
      <c r="I1498" s="1100">
        <v>1.018242283715566</v>
      </c>
      <c r="K1498">
        <v>1.1497948533136473</v>
      </c>
      <c r="L1498">
        <v>0</v>
      </c>
      <c r="M1498">
        <v>7.5555465564435442E-4</v>
      </c>
      <c r="N1498">
        <v>7.7403901643555609E-2</v>
      </c>
      <c r="O1498">
        <v>1.0261050710071905E-2</v>
      </c>
      <c r="P1498">
        <v>1.3829558166936182E-2</v>
      </c>
      <c r="Q1498">
        <v>4.6161598977961094E-4</v>
      </c>
      <c r="R1498">
        <v>7.5392342539274272E-4</v>
      </c>
      <c r="S1498">
        <v>7.4507003413806436E-2</v>
      </c>
      <c r="T1498">
        <v>0.82154007458376344</v>
      </c>
      <c r="U1498">
        <v>0</v>
      </c>
      <c r="V1498">
        <v>9.2176288885631188E-2</v>
      </c>
      <c r="W1498">
        <v>4.9800617705968928E-2</v>
      </c>
      <c r="X1498">
        <v>7.7644424112574082E-3</v>
      </c>
      <c r="Y1498">
        <v>2.051931033128659E-3</v>
      </c>
    </row>
    <row r="1499" spans="1:25" x14ac:dyDescent="0.25">
      <c r="A1499" s="1096"/>
      <c r="B1499" s="1455">
        <v>1249</v>
      </c>
      <c r="C1499" s="1100">
        <v>0.97459652035104849</v>
      </c>
      <c r="D1499" s="1100">
        <v>0.99250177500355075</v>
      </c>
      <c r="E1499" s="1100">
        <v>0.98556914485687719</v>
      </c>
      <c r="F1499" s="1100">
        <v>0.96360881369151419</v>
      </c>
      <c r="G1499" s="1100">
        <v>1.0277998725176412</v>
      </c>
      <c r="H1499" s="1100">
        <v>1.0226115539871141</v>
      </c>
      <c r="I1499" s="1100">
        <v>1.0105926815462229</v>
      </c>
      <c r="K1499">
        <v>1.1297258138392112</v>
      </c>
      <c r="L1499">
        <v>0</v>
      </c>
      <c r="M1499">
        <v>8.6833357381534831E-4</v>
      </c>
      <c r="N1499">
        <v>7.6498610184071655E-2</v>
      </c>
      <c r="O1499">
        <v>1.064618360312933E-2</v>
      </c>
      <c r="P1499">
        <v>1.3070417197077234E-2</v>
      </c>
      <c r="Q1499">
        <v>4.5560732224507553E-4</v>
      </c>
      <c r="R1499">
        <v>8.6645295197345631E-4</v>
      </c>
      <c r="S1499">
        <v>7.6788241039273411E-2</v>
      </c>
      <c r="T1499">
        <v>0.79843846155172282</v>
      </c>
      <c r="U1499">
        <v>0</v>
      </c>
      <c r="V1499">
        <v>9.3928224959922299E-2</v>
      </c>
      <c r="W1499">
        <v>5.0689756064426057E-2</v>
      </c>
      <c r="X1499">
        <v>6.8539932300494552E-3</v>
      </c>
      <c r="Y1499">
        <v>2.3581993091328938E-3</v>
      </c>
    </row>
    <row r="1500" spans="1:25" x14ac:dyDescent="0.25">
      <c r="A1500" s="1096"/>
      <c r="B1500" s="1455">
        <v>1250</v>
      </c>
      <c r="C1500" s="1100">
        <v>0.97953135565942084</v>
      </c>
      <c r="D1500" s="1100">
        <v>0.97420709784169168</v>
      </c>
      <c r="E1500" s="1100">
        <v>0.98716868324055085</v>
      </c>
      <c r="F1500" s="1100">
        <v>0.95925842298151842</v>
      </c>
      <c r="G1500" s="1100">
        <v>0.9924609581669469</v>
      </c>
      <c r="H1500" s="1100">
        <v>1.0114565859649456</v>
      </c>
      <c r="I1500" s="1100">
        <v>1.0024881032516406</v>
      </c>
      <c r="K1500">
        <v>1.1226299097870396</v>
      </c>
      <c r="L1500">
        <v>0</v>
      </c>
      <c r="M1500">
        <v>8.5807208659153362E-4</v>
      </c>
      <c r="N1500">
        <v>7.5959340151640964E-2</v>
      </c>
      <c r="O1500">
        <v>1.0672210863978454E-2</v>
      </c>
      <c r="P1500">
        <v>1.3004028205069419E-2</v>
      </c>
      <c r="Q1500">
        <v>4.5746166596473224E-4</v>
      </c>
      <c r="R1500">
        <v>8.5619319334357508E-4</v>
      </c>
      <c r="S1500">
        <v>7.6047319759834378E-2</v>
      </c>
      <c r="T1500">
        <v>0.79473150329620634</v>
      </c>
      <c r="U1500">
        <v>0</v>
      </c>
      <c r="V1500">
        <v>9.2289202489102842E-2</v>
      </c>
      <c r="W1500">
        <v>5.0284078082681587E-2</v>
      </c>
      <c r="X1500">
        <v>6.8563685375375516E-3</v>
      </c>
      <c r="Y1500">
        <v>2.3302756282708808E-3</v>
      </c>
    </row>
    <row r="1501" spans="1:25" x14ac:dyDescent="0.25">
      <c r="A1501" s="1096"/>
      <c r="B1501" s="1455">
        <v>1251</v>
      </c>
      <c r="C1501" s="1100">
        <v>1.0175310515194484</v>
      </c>
      <c r="D1501" s="1100">
        <v>1.0096977312073037</v>
      </c>
      <c r="E1501" s="1100">
        <v>1.0326165914978553</v>
      </c>
      <c r="F1501" s="1100">
        <v>0.98922886870773163</v>
      </c>
      <c r="G1501" s="1100">
        <v>0.97093150777654758</v>
      </c>
      <c r="H1501" s="1100">
        <v>1.005764987966054</v>
      </c>
      <c r="I1501" s="1100">
        <v>0.97706491603731616</v>
      </c>
      <c r="K1501">
        <v>1.1337808335594959</v>
      </c>
      <c r="L1501">
        <v>0</v>
      </c>
      <c r="M1501">
        <v>7.367560555288417E-4</v>
      </c>
      <c r="N1501">
        <v>7.4810844875589602E-2</v>
      </c>
      <c r="O1501">
        <v>1.014224241860753E-2</v>
      </c>
      <c r="P1501">
        <v>1.3642217449785646E-2</v>
      </c>
      <c r="Q1501">
        <v>4.5495337041366423E-4</v>
      </c>
      <c r="R1501">
        <v>7.3513367480075283E-4</v>
      </c>
      <c r="S1501">
        <v>6.9883230342729419E-2</v>
      </c>
      <c r="T1501">
        <v>0.81659953303060795</v>
      </c>
      <c r="U1501">
        <v>0</v>
      </c>
      <c r="V1501">
        <v>9.0431581331401792E-2</v>
      </c>
      <c r="W1501">
        <v>4.8214004722688199E-2</v>
      </c>
      <c r="X1501">
        <v>7.603056872342976E-3</v>
      </c>
      <c r="Y1501">
        <v>2.0007915260568808E-3</v>
      </c>
    </row>
    <row r="1502" spans="1:25" x14ac:dyDescent="0.25">
      <c r="A1502" s="1096"/>
      <c r="B1502" s="1455">
        <v>1252</v>
      </c>
      <c r="C1502" s="1100">
        <v>1.0265484929085682</v>
      </c>
      <c r="D1502" s="1100">
        <v>0.991056909573648</v>
      </c>
      <c r="E1502" s="1100">
        <v>1.0099569921638767</v>
      </c>
      <c r="F1502" s="1100">
        <v>1.0011467585509823</v>
      </c>
      <c r="G1502" s="1100">
        <v>1.014759653891492</v>
      </c>
      <c r="H1502" s="1100">
        <v>0.99582666382477325</v>
      </c>
      <c r="I1502" s="1100">
        <v>1.0075528077782492</v>
      </c>
      <c r="K1502">
        <v>1.1449305711477908</v>
      </c>
      <c r="L1502">
        <v>0</v>
      </c>
      <c r="M1502">
        <v>7.6365258917935361E-4</v>
      </c>
      <c r="N1502">
        <v>7.2417231559486359E-2</v>
      </c>
      <c r="O1502">
        <v>1.0121089882294994E-2</v>
      </c>
      <c r="P1502">
        <v>1.3620678463899626E-2</v>
      </c>
      <c r="Q1502">
        <v>4.4389852491445356E-4</v>
      </c>
      <c r="R1502">
        <v>7.6195419827278568E-4</v>
      </c>
      <c r="S1502">
        <v>7.1692109874386026E-2</v>
      </c>
      <c r="T1502">
        <v>0.82792388821144425</v>
      </c>
      <c r="U1502">
        <v>0</v>
      </c>
      <c r="V1502">
        <v>9.2087088656050392E-2</v>
      </c>
      <c r="W1502">
        <v>4.7293593114713879E-2</v>
      </c>
      <c r="X1502">
        <v>7.2589031019433215E-3</v>
      </c>
      <c r="Y1502">
        <v>2.0737881495645682E-3</v>
      </c>
    </row>
    <row r="1503" spans="1:25" x14ac:dyDescent="0.25">
      <c r="A1503" s="1096"/>
      <c r="B1503" s="1455">
        <v>1253</v>
      </c>
      <c r="C1503" s="1100">
        <v>0.96694590602116481</v>
      </c>
      <c r="D1503" s="1100">
        <v>1.0022590575736552</v>
      </c>
      <c r="E1503" s="1100">
        <v>1.0115375579768973</v>
      </c>
      <c r="F1503" s="1100">
        <v>0.99368179359778919</v>
      </c>
      <c r="G1503" s="1100">
        <v>0.9849029502819231</v>
      </c>
      <c r="H1503" s="1100">
        <v>0.97750565685863477</v>
      </c>
      <c r="I1503" s="1100">
        <v>1.0053823404063611</v>
      </c>
      <c r="K1503">
        <v>1.1473203382152446</v>
      </c>
      <c r="L1503">
        <v>0</v>
      </c>
      <c r="M1503">
        <v>7.8964131459590401E-4</v>
      </c>
      <c r="N1503">
        <v>7.5236750266446856E-2</v>
      </c>
      <c r="O1503">
        <v>1.0697289554250753E-2</v>
      </c>
      <c r="P1503">
        <v>1.3595163020338343E-2</v>
      </c>
      <c r="Q1503">
        <v>4.6991149809054493E-4</v>
      </c>
      <c r="R1503">
        <v>7.8785220822840643E-4</v>
      </c>
      <c r="S1503">
        <v>7.4737506424944741E-2</v>
      </c>
      <c r="T1503">
        <v>0.82164711178069272</v>
      </c>
      <c r="U1503">
        <v>0</v>
      </c>
      <c r="V1503">
        <v>9.2299445666391949E-2</v>
      </c>
      <c r="W1503">
        <v>4.9089192406912889E-2</v>
      </c>
      <c r="X1503">
        <v>7.4054827081563735E-3</v>
      </c>
      <c r="Y1503">
        <v>2.1442739953870795E-3</v>
      </c>
    </row>
    <row r="1504" spans="1:25" x14ac:dyDescent="0.25">
      <c r="A1504" s="1096"/>
      <c r="B1504" s="1455">
        <v>1254</v>
      </c>
      <c r="C1504" s="1100">
        <v>1.0080547027054105</v>
      </c>
      <c r="D1504" s="1100">
        <v>0.98224414780765268</v>
      </c>
      <c r="E1504" s="1100">
        <v>1.0048646476758194</v>
      </c>
      <c r="F1504" s="1100">
        <v>1.0167893730420576</v>
      </c>
      <c r="G1504" s="1100">
        <v>0.99748067310820954</v>
      </c>
      <c r="H1504" s="1100">
        <v>1.0214614669567563</v>
      </c>
      <c r="I1504" s="1100">
        <v>1.0087585004425037</v>
      </c>
      <c r="K1504">
        <v>1.1666026565849157</v>
      </c>
      <c r="L1504">
        <v>0</v>
      </c>
      <c r="M1504">
        <v>8.0904714999603493E-4</v>
      </c>
      <c r="N1504">
        <v>7.5555520096670201E-2</v>
      </c>
      <c r="O1504">
        <v>1.0341994507488813E-2</v>
      </c>
      <c r="P1504">
        <v>1.3785035949658421E-2</v>
      </c>
      <c r="Q1504">
        <v>4.5128072118630325E-4</v>
      </c>
      <c r="R1504">
        <v>8.0729295680057826E-4</v>
      </c>
      <c r="S1504">
        <v>7.4476264221022506E-2</v>
      </c>
      <c r="T1504">
        <v>0.84120150251591885</v>
      </c>
      <c r="U1504">
        <v>0</v>
      </c>
      <c r="V1504">
        <v>9.1790664342158837E-2</v>
      </c>
      <c r="W1504">
        <v>4.9491813881655251E-2</v>
      </c>
      <c r="X1504">
        <v>7.3131492379903242E-3</v>
      </c>
      <c r="Y1504">
        <v>2.1971853043594872E-3</v>
      </c>
    </row>
    <row r="1505" spans="1:25" x14ac:dyDescent="0.25">
      <c r="A1505" s="1096"/>
      <c r="B1505" s="1455">
        <v>1255</v>
      </c>
      <c r="C1505" s="1100">
        <v>0.99895681392016666</v>
      </c>
      <c r="D1505" s="1100">
        <v>1.0121355886116488</v>
      </c>
      <c r="E1505" s="1100">
        <v>0.99408128215600056</v>
      </c>
      <c r="F1505" s="1100">
        <v>1.0124380466309066</v>
      </c>
      <c r="G1505" s="1100">
        <v>1.0067692842678662</v>
      </c>
      <c r="H1505" s="1100">
        <v>0.99049220054991816</v>
      </c>
      <c r="I1505" s="1100">
        <v>0.99288054217654831</v>
      </c>
      <c r="K1505">
        <v>1.1558920906313959</v>
      </c>
      <c r="L1505">
        <v>0</v>
      </c>
      <c r="M1505">
        <v>7.9991914127322972E-4</v>
      </c>
      <c r="N1505">
        <v>7.230354272586155E-2</v>
      </c>
      <c r="O1505">
        <v>1.0308272578905967E-2</v>
      </c>
      <c r="P1505">
        <v>1.3604515642689181E-2</v>
      </c>
      <c r="Q1505">
        <v>4.4495857116711048E-4</v>
      </c>
      <c r="R1505">
        <v>7.9813051087707836E-4</v>
      </c>
      <c r="S1505">
        <v>7.1585959690465051E-2</v>
      </c>
      <c r="T1505">
        <v>0.83832457625475398</v>
      </c>
      <c r="U1505">
        <v>0</v>
      </c>
      <c r="V1505">
        <v>9.2410111898974703E-2</v>
      </c>
      <c r="W1505">
        <v>4.7666287647601627E-2</v>
      </c>
      <c r="X1505">
        <v>7.0734061044160279E-3</v>
      </c>
      <c r="Y1505">
        <v>2.1722481469552074E-3</v>
      </c>
    </row>
    <row r="1506" spans="1:25" x14ac:dyDescent="0.25">
      <c r="A1506" s="1096"/>
      <c r="B1506" s="1455">
        <v>1256</v>
      </c>
      <c r="C1506" s="1100">
        <v>1.0311400029802493</v>
      </c>
      <c r="D1506" s="1100">
        <v>0.99093498488871523</v>
      </c>
      <c r="E1506" s="1100">
        <v>0.99755389567474917</v>
      </c>
      <c r="F1506" s="1100">
        <v>0.97801744940389979</v>
      </c>
      <c r="G1506" s="1100">
        <v>1.0444885020835188</v>
      </c>
      <c r="H1506" s="1100">
        <v>0.98401935456881284</v>
      </c>
      <c r="I1506" s="1100">
        <v>0.9561994242330577</v>
      </c>
      <c r="K1506">
        <v>1.1195870914085635</v>
      </c>
      <c r="L1506">
        <v>0</v>
      </c>
      <c r="M1506">
        <v>7.708659443003994E-4</v>
      </c>
      <c r="N1506">
        <v>7.0411525273467945E-2</v>
      </c>
      <c r="O1506">
        <v>1.0072564476555195E-2</v>
      </c>
      <c r="P1506">
        <v>1.3201874159188746E-2</v>
      </c>
      <c r="Q1506">
        <v>4.3630802641458563E-4</v>
      </c>
      <c r="R1506">
        <v>7.6913093903592175E-4</v>
      </c>
      <c r="S1506">
        <v>6.7278780942364738E-2</v>
      </c>
      <c r="T1506">
        <v>0.8095981324405318</v>
      </c>
      <c r="U1506">
        <v>0</v>
      </c>
      <c r="V1506">
        <v>9.3249001156246916E-2</v>
      </c>
      <c r="W1506">
        <v>4.6322947357073013E-2</v>
      </c>
      <c r="X1506">
        <v>6.9243717098750853E-3</v>
      </c>
      <c r="Y1506">
        <v>2.093320872109867E-3</v>
      </c>
    </row>
    <row r="1507" spans="1:25" x14ac:dyDescent="0.25">
      <c r="A1507" s="1096"/>
      <c r="B1507" s="1455">
        <v>1257</v>
      </c>
      <c r="C1507" s="1100">
        <v>1.0104992723235973</v>
      </c>
      <c r="D1507" s="1100">
        <v>0.99024237674499327</v>
      </c>
      <c r="E1507" s="1100">
        <v>0.99425587481893796</v>
      </c>
      <c r="F1507" s="1100">
        <v>1.00108924767108</v>
      </c>
      <c r="G1507" s="1100">
        <v>0.96702360326653525</v>
      </c>
      <c r="H1507" s="1100">
        <v>1.0209959776671182</v>
      </c>
      <c r="I1507" s="1100">
        <v>1.03535874098646</v>
      </c>
      <c r="K1507">
        <v>1.1521140755535229</v>
      </c>
      <c r="L1507">
        <v>0</v>
      </c>
      <c r="M1507">
        <v>8.2199940503211528E-4</v>
      </c>
      <c r="N1507">
        <v>7.4343542038918548E-2</v>
      </c>
      <c r="O1507">
        <v>1.0280112653534212E-2</v>
      </c>
      <c r="P1507">
        <v>1.3510376493221926E-2</v>
      </c>
      <c r="Q1507">
        <v>4.4382117692512267E-4</v>
      </c>
      <c r="R1507">
        <v>8.2021631591254821E-4</v>
      </c>
      <c r="S1507">
        <v>7.5906564082856107E-2</v>
      </c>
      <c r="T1507">
        <v>0.82891587622817176</v>
      </c>
      <c r="U1507">
        <v>0</v>
      </c>
      <c r="V1507">
        <v>9.0427378821681823E-2</v>
      </c>
      <c r="W1507">
        <v>4.9006053170202943E-2</v>
      </c>
      <c r="X1507">
        <v>7.0497755494512574E-3</v>
      </c>
      <c r="Y1507">
        <v>2.2323584276780829E-3</v>
      </c>
    </row>
    <row r="1508" spans="1:25" x14ac:dyDescent="0.25">
      <c r="A1508" s="1096"/>
      <c r="B1508" s="1455">
        <v>1258</v>
      </c>
      <c r="C1508" s="1100">
        <v>1.0009005513934532</v>
      </c>
      <c r="D1508" s="1100">
        <v>0.99783090127394036</v>
      </c>
      <c r="E1508" s="1100">
        <v>0.97960455412306491</v>
      </c>
      <c r="F1508" s="1100">
        <v>0.99105680061090051</v>
      </c>
      <c r="G1508" s="1100">
        <v>1.0255109528940414</v>
      </c>
      <c r="H1508" s="1100">
        <v>1.0062463542821951</v>
      </c>
      <c r="I1508" s="1100">
        <v>0.99607337168640675</v>
      </c>
      <c r="K1508">
        <v>1.14172802004603</v>
      </c>
      <c r="L1508">
        <v>0</v>
      </c>
      <c r="M1508">
        <v>8.4050917480930248E-4</v>
      </c>
      <c r="N1508">
        <v>7.2720680510119887E-2</v>
      </c>
      <c r="O1508">
        <v>1.0342270159542446E-2</v>
      </c>
      <c r="P1508">
        <v>1.3258405371478498E-2</v>
      </c>
      <c r="Q1508">
        <v>4.3992996061079575E-4</v>
      </c>
      <c r="R1508">
        <v>8.3865920893814083E-4</v>
      </c>
      <c r="S1508">
        <v>7.282419185814977E-2</v>
      </c>
      <c r="T1508">
        <v>0.82157632584392204</v>
      </c>
      <c r="U1508">
        <v>0</v>
      </c>
      <c r="V1508">
        <v>9.3161514413077753E-2</v>
      </c>
      <c r="W1508">
        <v>4.835991474820292E-2</v>
      </c>
      <c r="X1508">
        <v>6.7640832440012582E-3</v>
      </c>
      <c r="Y1508">
        <v>2.2825539027956946E-3</v>
      </c>
    </row>
    <row r="1509" spans="1:25" x14ac:dyDescent="0.25">
      <c r="A1509" s="1096"/>
      <c r="B1509" s="1455">
        <v>1259</v>
      </c>
      <c r="C1509" s="1100">
        <v>1.0372269971489938</v>
      </c>
      <c r="D1509" s="1100">
        <v>0.97817790851229613</v>
      </c>
      <c r="E1509" s="1100">
        <v>1.0280204403647322</v>
      </c>
      <c r="F1509" s="1100">
        <v>1.0106458749793437</v>
      </c>
      <c r="G1509" s="1100">
        <v>0.99552907049823225</v>
      </c>
      <c r="H1509" s="1100">
        <v>0.9913843588097927</v>
      </c>
      <c r="I1509" s="1100">
        <v>0.99913010147210846</v>
      </c>
      <c r="K1509">
        <v>1.1503222586474713</v>
      </c>
      <c r="L1509">
        <v>0</v>
      </c>
      <c r="M1509">
        <v>7.2847076766185286E-4</v>
      </c>
      <c r="N1509">
        <v>7.2949425102651164E-2</v>
      </c>
      <c r="O1509">
        <v>1.0075205275652647E-2</v>
      </c>
      <c r="P1509">
        <v>1.3866236642182114E-2</v>
      </c>
      <c r="Q1509">
        <v>4.4989755307996989E-4</v>
      </c>
      <c r="R1509">
        <v>7.2684336266885786E-4</v>
      </c>
      <c r="S1509">
        <v>7.0680522400211623E-2</v>
      </c>
      <c r="T1509">
        <v>0.83458204112385947</v>
      </c>
      <c r="U1509">
        <v>0</v>
      </c>
      <c r="V1509">
        <v>9.1019215000602463E-2</v>
      </c>
      <c r="W1509">
        <v>4.7139927381738E-2</v>
      </c>
      <c r="X1509">
        <v>7.5831875431519201E-3</v>
      </c>
      <c r="Y1509">
        <v>1.9782280293345212E-3</v>
      </c>
    </row>
    <row r="1510" spans="1:25" x14ac:dyDescent="0.25">
      <c r="A1510" s="1096"/>
      <c r="B1510" s="1455">
        <v>1260</v>
      </c>
      <c r="C1510" s="1100">
        <v>0.9878275235819084</v>
      </c>
      <c r="D1510" s="1100">
        <v>0.99812778588759132</v>
      </c>
      <c r="E1510" s="1100">
        <v>1.0046982669109437</v>
      </c>
      <c r="F1510" s="1100">
        <v>1.021730901310365</v>
      </c>
      <c r="G1510" s="1100">
        <v>0.95786836768058381</v>
      </c>
      <c r="H1510" s="1100">
        <v>0.97853130157600565</v>
      </c>
      <c r="I1510" s="1100">
        <v>0.98413005484497817</v>
      </c>
      <c r="K1510">
        <v>1.163320714920083</v>
      </c>
      <c r="L1510">
        <v>0</v>
      </c>
      <c r="M1510">
        <v>7.8612727120973194E-4</v>
      </c>
      <c r="N1510">
        <v>7.3371195383725524E-2</v>
      </c>
      <c r="O1510">
        <v>1.0486204315201898E-2</v>
      </c>
      <c r="P1510">
        <v>1.3786428718727577E-2</v>
      </c>
      <c r="Q1510">
        <v>4.5749710754737553E-4</v>
      </c>
      <c r="R1510">
        <v>7.8434799358313928E-4</v>
      </c>
      <c r="S1510">
        <v>7.1797299273041459E-2</v>
      </c>
      <c r="T1510">
        <v>0.8453009137280364</v>
      </c>
      <c r="U1510">
        <v>0</v>
      </c>
      <c r="V1510">
        <v>9.0600652852177069E-2</v>
      </c>
      <c r="W1510">
        <v>4.8065730933212744E-2</v>
      </c>
      <c r="X1510">
        <v>7.3218352077516228E-3</v>
      </c>
      <c r="Y1510">
        <v>2.1347366782867093E-3</v>
      </c>
    </row>
    <row r="1511" spans="1:25" x14ac:dyDescent="0.25">
      <c r="A1511" s="1096"/>
      <c r="B1511" s="1455">
        <v>1261</v>
      </c>
      <c r="C1511" s="1100">
        <v>1.0089089229008044</v>
      </c>
      <c r="D1511" s="1100">
        <v>1.0205769672731211</v>
      </c>
      <c r="E1511" s="1100">
        <v>0.96404124730959384</v>
      </c>
      <c r="F1511" s="1100">
        <v>1.0230541682722971</v>
      </c>
      <c r="G1511" s="1100">
        <v>0.99920745250175269</v>
      </c>
      <c r="H1511" s="1100">
        <v>0.96100693926759362</v>
      </c>
      <c r="I1511" s="1100">
        <v>0.98642379250305778</v>
      </c>
      <c r="K1511">
        <v>1.1551031456971177</v>
      </c>
      <c r="L1511">
        <v>0</v>
      </c>
      <c r="M1511">
        <v>8.1497823670398611E-4</v>
      </c>
      <c r="N1511">
        <v>6.7259473572479814E-2</v>
      </c>
      <c r="O1511">
        <v>1.0163103524106447E-2</v>
      </c>
      <c r="P1511">
        <v>1.339786607192474E-2</v>
      </c>
      <c r="Q1511">
        <v>4.2549329788647849E-4</v>
      </c>
      <c r="R1511">
        <v>8.1310002273743724E-4</v>
      </c>
      <c r="S1511">
        <v>6.8922694001017026E-2</v>
      </c>
      <c r="T1511">
        <v>0.84917046200806434</v>
      </c>
      <c r="U1511">
        <v>0</v>
      </c>
      <c r="V1511">
        <v>9.1838200590308616E-2</v>
      </c>
      <c r="W1511">
        <v>4.5153240740136734E-2</v>
      </c>
      <c r="X1511">
        <v>6.5614998816187989E-3</v>
      </c>
      <c r="Y1511">
        <v>2.2129902235408457E-3</v>
      </c>
    </row>
    <row r="1512" spans="1:25" x14ac:dyDescent="0.25">
      <c r="A1512" s="1096"/>
      <c r="B1512" s="1455">
        <v>1262</v>
      </c>
      <c r="C1512" s="1100">
        <v>0.97540871641959248</v>
      </c>
      <c r="D1512" s="1100">
        <v>0.97154733823769079</v>
      </c>
      <c r="E1512" s="1100">
        <v>0.99562277957820733</v>
      </c>
      <c r="F1512" s="1100">
        <v>1.0094786258238344</v>
      </c>
      <c r="G1512" s="1100">
        <v>0.96793415227878699</v>
      </c>
      <c r="H1512" s="1100">
        <v>1.0220390677407605</v>
      </c>
      <c r="I1512" s="1100">
        <v>0.99159229943710647</v>
      </c>
      <c r="K1512">
        <v>1.1666096908957464</v>
      </c>
      <c r="L1512">
        <v>0</v>
      </c>
      <c r="M1512">
        <v>8.5653465571516711E-4</v>
      </c>
      <c r="N1512">
        <v>7.7787860625877017E-2</v>
      </c>
      <c r="O1512">
        <v>1.07319100877454E-2</v>
      </c>
      <c r="P1512">
        <v>1.3632506425369719E-2</v>
      </c>
      <c r="Q1512">
        <v>4.6396536425763506E-4</v>
      </c>
      <c r="R1512">
        <v>8.5467854866601994E-4</v>
      </c>
      <c r="S1512">
        <v>7.6097823973917941E-2</v>
      </c>
      <c r="T1512">
        <v>0.83577081898444128</v>
      </c>
      <c r="U1512">
        <v>0</v>
      </c>
      <c r="V1512">
        <v>9.1348777035946391E-2</v>
      </c>
      <c r="W1512">
        <v>5.1234684426238741E-2</v>
      </c>
      <c r="X1512">
        <v>7.2170468142391643E-3</v>
      </c>
      <c r="Y1512">
        <v>2.3261532647610591E-3</v>
      </c>
    </row>
    <row r="1513" spans="1:25" x14ac:dyDescent="0.25">
      <c r="A1513" s="1096"/>
      <c r="B1513" s="1455">
        <v>1263</v>
      </c>
      <c r="C1513" s="1100">
        <v>1.0185266118737082</v>
      </c>
      <c r="D1513" s="1100">
        <v>1.0089255057312072</v>
      </c>
      <c r="E1513" s="1100">
        <v>1.0077462472873084</v>
      </c>
      <c r="F1513" s="1100">
        <v>0.99108580081395548</v>
      </c>
      <c r="G1513" s="1100">
        <v>1.0017427319533894</v>
      </c>
      <c r="H1513" s="1100">
        <v>0.95718543412977342</v>
      </c>
      <c r="I1513" s="1100">
        <v>1.0150568811761822</v>
      </c>
      <c r="K1513">
        <v>1.1301812225238064</v>
      </c>
      <c r="L1513">
        <v>0</v>
      </c>
      <c r="M1513">
        <v>7.3791329806614271E-4</v>
      </c>
      <c r="N1513">
        <v>6.9504595127615948E-2</v>
      </c>
      <c r="O1513">
        <v>1.0127442139606327E-2</v>
      </c>
      <c r="P1513">
        <v>1.3465812186066677E-2</v>
      </c>
      <c r="Q1513">
        <v>4.4319598212850918E-4</v>
      </c>
      <c r="R1513">
        <v>7.3620589980952634E-4</v>
      </c>
      <c r="S1513">
        <v>7.0565961752728612E-2</v>
      </c>
      <c r="T1513">
        <v>0.81974815098750775</v>
      </c>
      <c r="U1513">
        <v>0</v>
      </c>
      <c r="V1513">
        <v>9.1720500992342982E-2</v>
      </c>
      <c r="W1513">
        <v>4.5450700331523784E-2</v>
      </c>
      <c r="X1513">
        <v>7.1528606534698386E-3</v>
      </c>
      <c r="Y1513">
        <v>2.0037097690718828E-3</v>
      </c>
    </row>
    <row r="1514" spans="1:25" x14ac:dyDescent="0.25">
      <c r="A1514" s="1096"/>
      <c r="B1514" s="1455">
        <v>1264</v>
      </c>
      <c r="C1514" s="1100">
        <v>1.0040120409455582</v>
      </c>
      <c r="D1514" s="1100">
        <v>0.96956862077961559</v>
      </c>
      <c r="E1514" s="1100">
        <v>1.0020650590214768</v>
      </c>
      <c r="F1514" s="1100">
        <v>0.95440586456406196</v>
      </c>
      <c r="G1514" s="1100">
        <v>1.0350459306081627</v>
      </c>
      <c r="H1514" s="1100">
        <v>1.0260764107590119</v>
      </c>
      <c r="I1514" s="1100">
        <v>0.99841967445301649</v>
      </c>
      <c r="K1514">
        <v>1.1177405727168643</v>
      </c>
      <c r="L1514">
        <v>0</v>
      </c>
      <c r="M1514">
        <v>8.2500480065831076E-4</v>
      </c>
      <c r="N1514">
        <v>7.6397771303922474E-2</v>
      </c>
      <c r="O1514">
        <v>1.0436800276000193E-2</v>
      </c>
      <c r="P1514">
        <v>1.3080370173539519E-2</v>
      </c>
      <c r="Q1514">
        <v>4.5414030549298026E-4</v>
      </c>
      <c r="R1514">
        <v>8.2322405313015382E-4</v>
      </c>
      <c r="S1514">
        <v>7.4689871339147854E-2</v>
      </c>
      <c r="T1514">
        <v>0.78976750642162774</v>
      </c>
      <c r="U1514">
        <v>0</v>
      </c>
      <c r="V1514">
        <v>9.3495224057391926E-2</v>
      </c>
      <c r="W1514">
        <v>5.0126631381559782E-2</v>
      </c>
      <c r="X1514">
        <v>7.0534937088242598E-3</v>
      </c>
      <c r="Y1514">
        <v>2.2405444968840978E-3</v>
      </c>
    </row>
    <row r="1515" spans="1:25" x14ac:dyDescent="0.25">
      <c r="A1515" s="1096"/>
      <c r="B1515" s="1455">
        <v>1265</v>
      </c>
      <c r="C1515" s="1100">
        <v>1.0333270296930344</v>
      </c>
      <c r="D1515" s="1100">
        <v>1.0072113800335305</v>
      </c>
      <c r="E1515" s="1100">
        <v>1.0074035166819901</v>
      </c>
      <c r="F1515" s="1100">
        <v>1.030731749161419</v>
      </c>
      <c r="G1515" s="1100">
        <v>1.0004542710498243</v>
      </c>
      <c r="H1515" s="1100">
        <v>0.99509663808223481</v>
      </c>
      <c r="I1515" s="1100">
        <v>0.99427686791828751</v>
      </c>
      <c r="K1515">
        <v>1.1650694796792722</v>
      </c>
      <c r="L1515">
        <v>0</v>
      </c>
      <c r="M1515">
        <v>7.5720523863307364E-4</v>
      </c>
      <c r="N1515">
        <v>7.1254240625684209E-2</v>
      </c>
      <c r="O1515">
        <v>9.9890696345611794E-3</v>
      </c>
      <c r="P1515">
        <v>1.3894340323994754E-2</v>
      </c>
      <c r="Q1515">
        <v>4.3699059787372736E-4</v>
      </c>
      <c r="R1515">
        <v>7.5551995140766019E-4</v>
      </c>
      <c r="S1515">
        <v>6.9670729565148803E-2</v>
      </c>
      <c r="T1515">
        <v>0.85256345934582756</v>
      </c>
      <c r="U1515">
        <v>0</v>
      </c>
      <c r="V1515">
        <v>9.1316818816794071E-2</v>
      </c>
      <c r="W1515">
        <v>4.6604270735490755E-2</v>
      </c>
      <c r="X1515">
        <v>7.2849690704751826E-3</v>
      </c>
      <c r="Y1515">
        <v>2.0562762506466043E-3</v>
      </c>
    </row>
    <row r="1516" spans="1:25" x14ac:dyDescent="0.25">
      <c r="A1516" s="1096"/>
      <c r="B1516" s="1455">
        <v>1266</v>
      </c>
      <c r="C1516" s="1100">
        <v>0.97121789570454897</v>
      </c>
      <c r="D1516" s="1100">
        <v>0.97571816988867655</v>
      </c>
      <c r="E1516" s="1100">
        <v>1.0042334284848471</v>
      </c>
      <c r="F1516" s="1100">
        <v>0.98982811985226316</v>
      </c>
      <c r="G1516" s="1100">
        <v>1.0226284713603924</v>
      </c>
      <c r="H1516" s="1100">
        <v>1.0435813585932439</v>
      </c>
      <c r="I1516" s="1100">
        <v>0.99881405408263157</v>
      </c>
      <c r="K1516">
        <v>1.1578244257159218</v>
      </c>
      <c r="L1516">
        <v>0</v>
      </c>
      <c r="M1516">
        <v>8.6133608900276987E-4</v>
      </c>
      <c r="N1516">
        <v>8.0289188612434101E-2</v>
      </c>
      <c r="O1516">
        <v>1.0762696039664675E-2</v>
      </c>
      <c r="P1516">
        <v>1.3546214312723423E-2</v>
      </c>
      <c r="Q1516">
        <v>4.6934121224473672E-4</v>
      </c>
      <c r="R1516">
        <v>8.5950810702700448E-4</v>
      </c>
      <c r="S1516">
        <v>7.7734870095059153E-2</v>
      </c>
      <c r="T1516">
        <v>0.81893742128971947</v>
      </c>
      <c r="U1516">
        <v>0</v>
      </c>
      <c r="V1516">
        <v>9.3798180221524655E-2</v>
      </c>
      <c r="W1516">
        <v>5.2612215176193466E-2</v>
      </c>
      <c r="X1516">
        <v>7.3368290077767823E-3</v>
      </c>
      <c r="Y1516">
        <v>2.3392977305561734E-3</v>
      </c>
    </row>
    <row r="1517" spans="1:25" x14ac:dyDescent="0.25">
      <c r="A1517" s="1096"/>
      <c r="B1517" s="1455">
        <v>1267</v>
      </c>
      <c r="C1517" s="1100">
        <v>0.99939812719549947</v>
      </c>
      <c r="D1517" s="1100">
        <v>1.0094701209721983</v>
      </c>
      <c r="E1517" s="1100">
        <v>1.0092253197075236</v>
      </c>
      <c r="F1517" s="1100">
        <v>1.0228884677604948</v>
      </c>
      <c r="G1517" s="1100">
        <v>1.0049940250508425</v>
      </c>
      <c r="H1517" s="1100">
        <v>0.972413846883456</v>
      </c>
      <c r="I1517" s="1100">
        <v>0.96114691298005051</v>
      </c>
      <c r="K1517">
        <v>1.1600888609705218</v>
      </c>
      <c r="L1517">
        <v>0</v>
      </c>
      <c r="M1517">
        <v>7.6149369232325571E-4</v>
      </c>
      <c r="N1517">
        <v>7.2049296093356321E-2</v>
      </c>
      <c r="O1517">
        <v>1.0319536914014564E-2</v>
      </c>
      <c r="P1517">
        <v>1.3822546856436928E-2</v>
      </c>
      <c r="Q1517">
        <v>4.5227117652839018E-4</v>
      </c>
      <c r="R1517">
        <v>7.5975932631294004E-4</v>
      </c>
      <c r="S1517">
        <v>6.8673433584361857E-2</v>
      </c>
      <c r="T1517">
        <v>0.84595306643519119</v>
      </c>
      <c r="U1517">
        <v>0</v>
      </c>
      <c r="V1517">
        <v>9.2325489303867789E-2</v>
      </c>
      <c r="W1517">
        <v>4.7073617197370812E-2</v>
      </c>
      <c r="X1517">
        <v>7.3535233437748556E-3</v>
      </c>
      <c r="Y1517">
        <v>2.0678144316292153E-3</v>
      </c>
    </row>
    <row r="1518" spans="1:25" x14ac:dyDescent="0.25">
      <c r="A1518" s="1096"/>
      <c r="B1518" s="1455">
        <v>1268</v>
      </c>
      <c r="C1518" s="1100">
        <v>1.0336022421978317</v>
      </c>
      <c r="D1518" s="1100">
        <v>0.99640667448808395</v>
      </c>
      <c r="E1518" s="1100">
        <v>0.96828515294046502</v>
      </c>
      <c r="F1518" s="1100">
        <v>1.0034765661466707</v>
      </c>
      <c r="G1518" s="1100">
        <v>0.99254467846224625</v>
      </c>
      <c r="H1518" s="1100">
        <v>1.0262748983884753</v>
      </c>
      <c r="I1518" s="1100">
        <v>1.0115258956023456</v>
      </c>
      <c r="K1518">
        <v>1.1472886657362662</v>
      </c>
      <c r="L1518">
        <v>0</v>
      </c>
      <c r="M1518">
        <v>8.5024232158349309E-4</v>
      </c>
      <c r="N1518">
        <v>7.1087993618011242E-2</v>
      </c>
      <c r="O1518">
        <v>1.0017204778356823E-2</v>
      </c>
      <c r="P1518">
        <v>1.3257089744585216E-2</v>
      </c>
      <c r="Q1518">
        <v>4.2121202383215805E-4</v>
      </c>
      <c r="R1518">
        <v>8.4840745458417523E-4</v>
      </c>
      <c r="S1518">
        <v>7.2451784075779804E-2</v>
      </c>
      <c r="T1518">
        <v>0.8326337685277726</v>
      </c>
      <c r="U1518">
        <v>0</v>
      </c>
      <c r="V1518">
        <v>9.0967163442174218E-2</v>
      </c>
      <c r="W1518">
        <v>4.7599952441150499E-2</v>
      </c>
      <c r="X1518">
        <v>6.5452465376663188E-3</v>
      </c>
      <c r="Y1518">
        <v>2.3090854139358867E-3</v>
      </c>
    </row>
    <row r="1519" spans="1:25" x14ac:dyDescent="0.25">
      <c r="A1519" s="1096"/>
      <c r="B1519" s="1455">
        <v>1269</v>
      </c>
      <c r="C1519" s="1100">
        <v>1.0456840155776985</v>
      </c>
      <c r="D1519" s="1100">
        <v>0.98016356935958326</v>
      </c>
      <c r="E1519" s="1100">
        <v>1.0037258651084981</v>
      </c>
      <c r="F1519" s="1100">
        <v>0.99794571530958931</v>
      </c>
      <c r="G1519" s="1100">
        <v>1.0039431021210961</v>
      </c>
      <c r="H1519" s="1100">
        <v>1.0212635405437245</v>
      </c>
      <c r="I1519" s="1100">
        <v>0.99045136776521003</v>
      </c>
      <c r="K1519">
        <v>1.1411025746481358</v>
      </c>
      <c r="L1519">
        <v>0</v>
      </c>
      <c r="M1519">
        <v>7.8229080438317036E-4</v>
      </c>
      <c r="N1519">
        <v>7.2805918859245117E-2</v>
      </c>
      <c r="O1519">
        <v>9.9779343338363465E-3</v>
      </c>
      <c r="P1519">
        <v>1.3499385924574099E-2</v>
      </c>
      <c r="Q1519">
        <v>4.3489775991317308E-4</v>
      </c>
      <c r="R1519">
        <v>7.8059429613514713E-4</v>
      </c>
      <c r="S1519">
        <v>7.0560901241683141E-2</v>
      </c>
      <c r="T1519">
        <v>0.82568700831135788</v>
      </c>
      <c r="U1519">
        <v>0</v>
      </c>
      <c r="V1519">
        <v>9.1182018060059683E-2</v>
      </c>
      <c r="W1519">
        <v>4.7722897915793795E-2</v>
      </c>
      <c r="X1519">
        <v>7.1087883986808128E-3</v>
      </c>
      <c r="Y1519">
        <v>2.1245203512393063E-3</v>
      </c>
    </row>
    <row r="1520" spans="1:25" x14ac:dyDescent="0.25">
      <c r="A1520" s="1096"/>
      <c r="B1520" s="1455">
        <v>1270</v>
      </c>
      <c r="C1520" s="1100">
        <v>0.99011167882551032</v>
      </c>
      <c r="D1520" s="1100">
        <v>0.99294000675872918</v>
      </c>
      <c r="E1520" s="1100">
        <v>0.96512980364302459</v>
      </c>
      <c r="F1520" s="1100">
        <v>0.96249850649636715</v>
      </c>
      <c r="G1520" s="1100">
        <v>1.0125539718493437</v>
      </c>
      <c r="H1520" s="1100">
        <v>1.00420497549885</v>
      </c>
      <c r="I1520" s="1100">
        <v>0.98778197165413062</v>
      </c>
      <c r="K1520">
        <v>1.1184533632441851</v>
      </c>
      <c r="L1520">
        <v>0</v>
      </c>
      <c r="M1520">
        <v>8.7539409679480095E-4</v>
      </c>
      <c r="N1520">
        <v>7.2491357929701933E-2</v>
      </c>
      <c r="O1520">
        <v>1.0470757740091742E-2</v>
      </c>
      <c r="P1520">
        <v>1.2810105735293634E-2</v>
      </c>
      <c r="Q1520">
        <v>4.388631737146734E-4</v>
      </c>
      <c r="R1520">
        <v>8.7346343224323241E-4</v>
      </c>
      <c r="S1520">
        <v>7.3089149700063721E-2</v>
      </c>
      <c r="T1520">
        <v>0.79883659631142934</v>
      </c>
      <c r="U1520">
        <v>0</v>
      </c>
      <c r="V1520">
        <v>9.2875328704775217E-2</v>
      </c>
      <c r="W1520">
        <v>4.8633186153024005E-2</v>
      </c>
      <c r="X1520">
        <v>6.4326689352186169E-3</v>
      </c>
      <c r="Y1520">
        <v>2.3772795254230245E-3</v>
      </c>
    </row>
    <row r="1521" spans="1:25" x14ac:dyDescent="0.25">
      <c r="A1521" s="1096"/>
      <c r="B1521" s="1455">
        <v>1271</v>
      </c>
      <c r="C1521" s="1100">
        <v>0.97063516272733152</v>
      </c>
      <c r="D1521" s="1100">
        <v>0.97806959225272938</v>
      </c>
      <c r="E1521" s="1100">
        <v>0.99498985426535236</v>
      </c>
      <c r="F1521" s="1100">
        <v>0.98907080503511335</v>
      </c>
      <c r="G1521" s="1100">
        <v>1.0266218764049946</v>
      </c>
      <c r="H1521" s="1100">
        <v>0.98160959986348073</v>
      </c>
      <c r="I1521" s="1100">
        <v>1.0321460544577805</v>
      </c>
      <c r="K1521">
        <v>1.1486346356719981</v>
      </c>
      <c r="L1521">
        <v>0</v>
      </c>
      <c r="M1521">
        <v>8.2557074580963678E-4</v>
      </c>
      <c r="N1521">
        <v>7.4825838090947325E-2</v>
      </c>
      <c r="O1521">
        <v>1.0755649301322409E-2</v>
      </c>
      <c r="P1521">
        <v>1.3452859106271272E-2</v>
      </c>
      <c r="Q1521">
        <v>4.6469516084053734E-4</v>
      </c>
      <c r="R1521">
        <v>8.2370805369462376E-4</v>
      </c>
      <c r="S1521">
        <v>7.7561740166203499E-2</v>
      </c>
      <c r="T1521">
        <v>0.818916249642889</v>
      </c>
      <c r="U1521">
        <v>0</v>
      </c>
      <c r="V1521">
        <v>9.398289084916385E-2</v>
      </c>
      <c r="W1521">
        <v>4.9302371072917114E-2</v>
      </c>
      <c r="X1521">
        <v>7.1323431866865388E-3</v>
      </c>
      <c r="Y1521">
        <v>2.2418617868698414E-3</v>
      </c>
    </row>
    <row r="1522" spans="1:25" x14ac:dyDescent="0.25">
      <c r="A1522" s="1096"/>
      <c r="B1522" s="1455">
        <v>1272</v>
      </c>
      <c r="C1522" s="1100">
        <v>1.007349859854817</v>
      </c>
      <c r="D1522" s="1100">
        <v>0.99154410663361259</v>
      </c>
      <c r="E1522" s="1100">
        <v>0.99306449790332607</v>
      </c>
      <c r="F1522" s="1100">
        <v>1.0109357540797188</v>
      </c>
      <c r="G1522" s="1100">
        <v>0.96621377897020411</v>
      </c>
      <c r="H1522" s="1100">
        <v>1.0233371792530752</v>
      </c>
      <c r="I1522" s="1100">
        <v>1.0204647683833814</v>
      </c>
      <c r="K1522">
        <v>1.1602287194501779</v>
      </c>
      <c r="L1522">
        <v>0</v>
      </c>
      <c r="M1522">
        <v>8.2806778855962096E-4</v>
      </c>
      <c r="N1522">
        <v>7.4623543251287366E-2</v>
      </c>
      <c r="O1522">
        <v>1.030644728979235E-2</v>
      </c>
      <c r="P1522">
        <v>1.3599462510878823E-2</v>
      </c>
      <c r="Q1522">
        <v>4.4442370488317277E-4</v>
      </c>
      <c r="R1522">
        <v>8.2627564532927029E-4</v>
      </c>
      <c r="S1522">
        <v>7.509340507111005E-2</v>
      </c>
      <c r="T1522">
        <v>0.83714890566352307</v>
      </c>
      <c r="U1522">
        <v>0</v>
      </c>
      <c r="V1522">
        <v>9.0469228477994545E-2</v>
      </c>
      <c r="W1522">
        <v>4.9225644110292663E-2</v>
      </c>
      <c r="X1522">
        <v>7.0706015887537169E-3</v>
      </c>
      <c r="Y1522">
        <v>2.2488499248929949E-3</v>
      </c>
    </row>
    <row r="1523" spans="1:25" x14ac:dyDescent="0.25">
      <c r="A1523" s="1096"/>
      <c r="B1523" s="1455">
        <v>1273</v>
      </c>
      <c r="C1523" s="1100">
        <v>1.0002600046201651</v>
      </c>
      <c r="D1523" s="1100">
        <v>1.0189045303888031</v>
      </c>
      <c r="E1523" s="1100">
        <v>1.0079698981739442</v>
      </c>
      <c r="F1523" s="1100">
        <v>0.99651852624166048</v>
      </c>
      <c r="G1523" s="1100">
        <v>0.99328727873907641</v>
      </c>
      <c r="H1523" s="1100">
        <v>1.0071889089782742</v>
      </c>
      <c r="I1523" s="1100">
        <v>1.0079460059200913</v>
      </c>
      <c r="K1523">
        <v>1.1454525725324076</v>
      </c>
      <c r="L1523">
        <v>0</v>
      </c>
      <c r="M1523">
        <v>7.8716937210355858E-4</v>
      </c>
      <c r="N1523">
        <v>7.4202690545882119E-2</v>
      </c>
      <c r="O1523">
        <v>1.0271942161372876E-2</v>
      </c>
      <c r="P1523">
        <v>1.3564359980198941E-2</v>
      </c>
      <c r="Q1523">
        <v>4.4962020512257688E-4</v>
      </c>
      <c r="R1523">
        <v>7.8543842884769191E-4</v>
      </c>
      <c r="S1523">
        <v>7.302516837391336E-2</v>
      </c>
      <c r="T1523">
        <v>0.82422697530345768</v>
      </c>
      <c r="U1523">
        <v>0</v>
      </c>
      <c r="V1523">
        <v>9.180348573002696E-2</v>
      </c>
      <c r="W1523">
        <v>4.8516486492686438E-2</v>
      </c>
      <c r="X1523">
        <v>7.25587019938842E-3</v>
      </c>
      <c r="Y1523">
        <v>2.1377044836149335E-3</v>
      </c>
    </row>
    <row r="1524" spans="1:25" x14ac:dyDescent="0.25">
      <c r="A1524" s="1096"/>
      <c r="B1524" s="1455">
        <v>1274</v>
      </c>
      <c r="C1524" s="1100">
        <v>0.96822325291280409</v>
      </c>
      <c r="D1524" s="1100">
        <v>1.0231007750999659</v>
      </c>
      <c r="E1524" s="1100">
        <v>0.99514706755558446</v>
      </c>
      <c r="F1524" s="1100">
        <v>0.98891053251624228</v>
      </c>
      <c r="G1524" s="1100">
        <v>1.0210742152801318</v>
      </c>
      <c r="H1524" s="1100">
        <v>0.96947346239466803</v>
      </c>
      <c r="I1524" s="1100">
        <v>0.98945984384872565</v>
      </c>
      <c r="K1524">
        <v>1.139301392451217</v>
      </c>
      <c r="L1524">
        <v>0</v>
      </c>
      <c r="M1524">
        <v>8.0254788494778381E-4</v>
      </c>
      <c r="N1524">
        <v>7.2771664516988244E-2</v>
      </c>
      <c r="O1524">
        <v>1.0590094615272249E-2</v>
      </c>
      <c r="P1524">
        <v>1.3379047556578047E-2</v>
      </c>
      <c r="Q1524">
        <v>4.5761491947789005E-4</v>
      </c>
      <c r="R1524">
        <v>8.0071447067943749E-4</v>
      </c>
      <c r="S1524">
        <v>7.2333081195937884E-2</v>
      </c>
      <c r="T1524">
        <v>0.81877323189389561</v>
      </c>
      <c r="U1524">
        <v>0</v>
      </c>
      <c r="V1524">
        <v>9.3809313513744122E-2</v>
      </c>
      <c r="W1524">
        <v>4.7944388792844857E-2</v>
      </c>
      <c r="X1524">
        <v>7.0655080270122777E-3</v>
      </c>
      <c r="Y1524">
        <v>2.1792808337351083E-3</v>
      </c>
    </row>
    <row r="1525" spans="1:25" x14ac:dyDescent="0.25">
      <c r="A1525" s="1096"/>
      <c r="B1525" s="1455">
        <v>1275</v>
      </c>
      <c r="C1525" s="1100">
        <v>0.99755641751358248</v>
      </c>
      <c r="D1525" s="1100">
        <v>1.0195455646874403</v>
      </c>
      <c r="E1525" s="1100">
        <v>1.0223630277263906</v>
      </c>
      <c r="F1525" s="1100">
        <v>0.96410611762430931</v>
      </c>
      <c r="G1525" s="1100">
        <v>0.99636336773740641</v>
      </c>
      <c r="H1525" s="1100">
        <v>0.99379801098517495</v>
      </c>
      <c r="I1525" s="1100">
        <v>0.96537671578943907</v>
      </c>
      <c r="K1525">
        <v>1.1141879288436898</v>
      </c>
      <c r="L1525">
        <v>0</v>
      </c>
      <c r="M1525">
        <v>7.5565778314440172E-4</v>
      </c>
      <c r="N1525">
        <v>7.4392285364127328E-2</v>
      </c>
      <c r="O1525">
        <v>1.0301887311253189E-2</v>
      </c>
      <c r="P1525">
        <v>1.3280098396107394E-2</v>
      </c>
      <c r="Q1525">
        <v>4.5744711347045611E-4</v>
      </c>
      <c r="R1525">
        <v>7.5397374232340708E-4</v>
      </c>
      <c r="S1525">
        <v>6.9600974091810458E-2</v>
      </c>
      <c r="T1525">
        <v>0.79650658944793395</v>
      </c>
      <c r="U1525">
        <v>0</v>
      </c>
      <c r="V1525">
        <v>9.200451057818404E-2</v>
      </c>
      <c r="W1525">
        <v>4.8231031511469076E-2</v>
      </c>
      <c r="X1525">
        <v>7.3627210909276951E-3</v>
      </c>
      <c r="Y1525">
        <v>2.0520679792269555E-3</v>
      </c>
    </row>
    <row r="1526" spans="1:25" x14ac:dyDescent="0.25">
      <c r="A1526" s="1096"/>
      <c r="B1526" s="1455">
        <v>1276</v>
      </c>
      <c r="C1526" s="1100">
        <v>0.9737680201303972</v>
      </c>
      <c r="D1526" s="1100">
        <v>0.97279254793320302</v>
      </c>
      <c r="E1526" s="1100">
        <v>1.0363618466307556</v>
      </c>
      <c r="F1526" s="1100">
        <v>1.0286016611189606</v>
      </c>
      <c r="G1526" s="1100">
        <v>1.0152510037601452</v>
      </c>
      <c r="H1526" s="1100">
        <v>1.0051181136959801</v>
      </c>
      <c r="I1526" s="1100">
        <v>1.0138352426132589</v>
      </c>
      <c r="K1526">
        <v>1.185899851888145</v>
      </c>
      <c r="L1526">
        <v>0</v>
      </c>
      <c r="M1526">
        <v>7.7484227746697884E-4</v>
      </c>
      <c r="N1526">
        <v>7.9571081195619203E-2</v>
      </c>
      <c r="O1526">
        <v>1.0758364594656617E-2</v>
      </c>
      <c r="P1526">
        <v>1.4275396160672513E-2</v>
      </c>
      <c r="Q1526">
        <v>4.8437682716154055E-4</v>
      </c>
      <c r="R1526">
        <v>7.731349305008724E-4</v>
      </c>
      <c r="S1526">
        <v>7.7210929996332875E-2</v>
      </c>
      <c r="T1526">
        <v>0.8488506798294515</v>
      </c>
      <c r="U1526">
        <v>0</v>
      </c>
      <c r="V1526">
        <v>9.3421310371831032E-2</v>
      </c>
      <c r="W1526">
        <v>5.1170899927752887E-2</v>
      </c>
      <c r="X1526">
        <v>8.054301914669118E-3</v>
      </c>
      <c r="Y1526">
        <v>2.1042184169620315E-3</v>
      </c>
    </row>
    <row r="1527" spans="1:25" x14ac:dyDescent="0.25">
      <c r="A1527" s="1096"/>
      <c r="B1527" s="1455">
        <v>1277</v>
      </c>
      <c r="C1527" s="1100">
        <v>1.0167776806203193</v>
      </c>
      <c r="D1527" s="1100">
        <v>1.0021403483904447</v>
      </c>
      <c r="E1527" s="1100">
        <v>0.98569729435976861</v>
      </c>
      <c r="F1527" s="1100">
        <v>0.99661124404013746</v>
      </c>
      <c r="G1527" s="1100">
        <v>1.0140138450499225</v>
      </c>
      <c r="H1527" s="1100">
        <v>0.99671485220461431</v>
      </c>
      <c r="I1527" s="1100">
        <v>0.99929520400207872</v>
      </c>
      <c r="K1527">
        <v>1.1407918891418336</v>
      </c>
      <c r="L1527">
        <v>0</v>
      </c>
      <c r="M1527">
        <v>8.0788880921652797E-4</v>
      </c>
      <c r="N1527">
        <v>7.1197111472572933E-2</v>
      </c>
      <c r="O1527">
        <v>1.0165193690429545E-2</v>
      </c>
      <c r="P1527">
        <v>1.3345199441095355E-2</v>
      </c>
      <c r="Q1527">
        <v>4.3507967158401393E-4</v>
      </c>
      <c r="R1527">
        <v>8.0609363649442696E-4</v>
      </c>
      <c r="S1527">
        <v>7.1386441165747869E-2</v>
      </c>
      <c r="T1527">
        <v>0.82577549339230261</v>
      </c>
      <c r="U1527">
        <v>0</v>
      </c>
      <c r="V1527">
        <v>9.2284038554062489E-2</v>
      </c>
      <c r="W1527">
        <v>4.7173225736819785E-2</v>
      </c>
      <c r="X1527">
        <v>6.8379800401001051E-3</v>
      </c>
      <c r="Y1527">
        <v>2.1939211498419754E-3</v>
      </c>
    </row>
    <row r="1528" spans="1:25" x14ac:dyDescent="0.25">
      <c r="A1528" s="1096"/>
      <c r="B1528" s="1455">
        <v>1278</v>
      </c>
      <c r="C1528" s="1100">
        <v>0.9783440494552379</v>
      </c>
      <c r="D1528" s="1100">
        <v>1.021032498570235</v>
      </c>
      <c r="E1528" s="1100">
        <v>0.99730235707288761</v>
      </c>
      <c r="F1528" s="1100">
        <v>0.96189334691692752</v>
      </c>
      <c r="G1528" s="1100">
        <v>0.98823595549717713</v>
      </c>
      <c r="H1528" s="1100">
        <v>0.96364427588800039</v>
      </c>
      <c r="I1528" s="1100">
        <v>1.0466305833567542</v>
      </c>
      <c r="K1528">
        <v>1.1161567288160661</v>
      </c>
      <c r="L1528">
        <v>0</v>
      </c>
      <c r="M1528">
        <v>7.865869584159314E-4</v>
      </c>
      <c r="N1528">
        <v>7.1789481070433508E-2</v>
      </c>
      <c r="O1528">
        <v>1.0489743493000782E-2</v>
      </c>
      <c r="P1528">
        <v>1.3115616166208592E-2</v>
      </c>
      <c r="Q1528">
        <v>4.5426371757982553E-4</v>
      </c>
      <c r="R1528">
        <v>7.8477913680615428E-4</v>
      </c>
      <c r="S1528">
        <v>7.5550913706447523E-2</v>
      </c>
      <c r="T1528">
        <v>0.79626671670142979</v>
      </c>
      <c r="U1528">
        <v>0</v>
      </c>
      <c r="V1528">
        <v>9.2140850854656189E-2</v>
      </c>
      <c r="W1528">
        <v>4.7236564645261533E-2</v>
      </c>
      <c r="X1528">
        <v>6.9784761746451134E-3</v>
      </c>
      <c r="Y1528">
        <v>2.1359101080134315E-3</v>
      </c>
    </row>
    <row r="1529" spans="1:25" x14ac:dyDescent="0.25">
      <c r="A1529" s="1096"/>
      <c r="B1529" s="1455">
        <v>1279</v>
      </c>
      <c r="C1529" s="1100">
        <v>1.0021958289554866</v>
      </c>
      <c r="D1529" s="1100">
        <v>1.0095445544823185</v>
      </c>
      <c r="E1529" s="1100">
        <v>0.9793613090192792</v>
      </c>
      <c r="F1529" s="1100">
        <v>0.99720078577860716</v>
      </c>
      <c r="G1529" s="1100">
        <v>0.95200696997603751</v>
      </c>
      <c r="H1529" s="1100">
        <v>1.0195118769272278</v>
      </c>
      <c r="I1529" s="1100">
        <v>1.0288833309208072</v>
      </c>
      <c r="K1529">
        <v>1.1469312602885626</v>
      </c>
      <c r="L1529">
        <v>0</v>
      </c>
      <c r="M1529">
        <v>8.4695389959151034E-4</v>
      </c>
      <c r="N1529">
        <v>7.322646511084524E-2</v>
      </c>
      <c r="O1529">
        <v>1.0280718486949796E-2</v>
      </c>
      <c r="P1529">
        <v>1.3314181231728195E-2</v>
      </c>
      <c r="Q1529">
        <v>4.3720359627425555E-4</v>
      </c>
      <c r="R1529">
        <v>8.4511400450193095E-4</v>
      </c>
      <c r="S1529">
        <v>7.5228927264024553E-2</v>
      </c>
      <c r="T1529">
        <v>0.82668584900343089</v>
      </c>
      <c r="U1529">
        <v>0</v>
      </c>
      <c r="V1529">
        <v>8.9985970324208422E-2</v>
      </c>
      <c r="W1529">
        <v>4.8703421936514744E-2</v>
      </c>
      <c r="X1529">
        <v>6.7702415011791205E-3</v>
      </c>
      <c r="Y1529">
        <v>2.3001217284975453E-3</v>
      </c>
    </row>
    <row r="1530" spans="1:25" x14ac:dyDescent="0.25">
      <c r="A1530" s="1096"/>
      <c r="B1530" s="1455">
        <v>1280</v>
      </c>
      <c r="C1530" s="1100">
        <v>0.99782581210092891</v>
      </c>
      <c r="D1530" s="1100">
        <v>1.004881286022367</v>
      </c>
      <c r="E1530" s="1100">
        <v>0.96302638508427152</v>
      </c>
      <c r="F1530" s="1100">
        <v>1.0220202000158953</v>
      </c>
      <c r="G1530" s="1100">
        <v>0.99568590014461578</v>
      </c>
      <c r="H1530" s="1100">
        <v>1.0002467036559799</v>
      </c>
      <c r="I1530" s="1100">
        <v>0.98951090680502829</v>
      </c>
      <c r="K1530">
        <v>1.1644778004353991</v>
      </c>
      <c r="L1530">
        <v>0</v>
      </c>
      <c r="M1530">
        <v>8.6481895579296382E-4</v>
      </c>
      <c r="N1530">
        <v>7.1160146294856355E-2</v>
      </c>
      <c r="O1530">
        <v>1.0339561208922966E-2</v>
      </c>
      <c r="P1530">
        <v>1.3419976195686158E-2</v>
      </c>
      <c r="Q1530">
        <v>4.3243055603180023E-4</v>
      </c>
      <c r="R1530">
        <v>8.6290406659474464E-4</v>
      </c>
      <c r="S1530">
        <v>7.2045052526798603E-2</v>
      </c>
      <c r="T1530">
        <v>0.8483821238847814</v>
      </c>
      <c r="U1530">
        <v>0</v>
      </c>
      <c r="V1530">
        <v>9.1960115272985199E-2</v>
      </c>
      <c r="W1530">
        <v>4.7801544691203623E-2</v>
      </c>
      <c r="X1530">
        <v>6.5902242803078121E-3</v>
      </c>
      <c r="Y1530">
        <v>2.3485404130217909E-3</v>
      </c>
    </row>
    <row r="1531" spans="1:25" x14ac:dyDescent="0.25">
      <c r="A1531" s="1096"/>
      <c r="B1531" s="1455">
        <v>1281</v>
      </c>
      <c r="C1531" s="1100">
        <v>1.0147568117863419</v>
      </c>
      <c r="D1531" s="1100">
        <v>0.99764184417368151</v>
      </c>
      <c r="E1531" s="1100">
        <v>0.97632104512492179</v>
      </c>
      <c r="F1531" s="1100">
        <v>1.000340524677658</v>
      </c>
      <c r="G1531" s="1100">
        <v>0.99447579490643634</v>
      </c>
      <c r="H1531" s="1100">
        <v>0.9988465782904038</v>
      </c>
      <c r="I1531" s="1100">
        <v>0.98957308265457844</v>
      </c>
      <c r="K1531">
        <v>1.1431999373254893</v>
      </c>
      <c r="L1531">
        <v>0</v>
      </c>
      <c r="M1531">
        <v>8.286030290597067E-4</v>
      </c>
      <c r="N1531">
        <v>7.0980593686735094E-2</v>
      </c>
      <c r="O1531">
        <v>1.0200765856528666E-2</v>
      </c>
      <c r="P1531">
        <v>1.3285434745724106E-2</v>
      </c>
      <c r="Q1531">
        <v>4.3246344407733194E-4</v>
      </c>
      <c r="R1531">
        <v>8.2676575768658841E-4</v>
      </c>
      <c r="S1531">
        <v>7.1070467156654299E-2</v>
      </c>
      <c r="T1531">
        <v>0.82949224210887174</v>
      </c>
      <c r="U1531">
        <v>0</v>
      </c>
      <c r="V1531">
        <v>9.1495832724226026E-2</v>
      </c>
      <c r="W1531">
        <v>4.7296572569093247E-2</v>
      </c>
      <c r="X1531">
        <v>6.6972184557865791E-3</v>
      </c>
      <c r="Y1531">
        <v>2.2501838491641194E-3</v>
      </c>
    </row>
    <row r="1532" spans="1:25" x14ac:dyDescent="0.25">
      <c r="A1532" s="1096"/>
      <c r="B1532" s="1455">
        <v>1282</v>
      </c>
      <c r="C1532" s="1100">
        <v>1.037763720134985</v>
      </c>
      <c r="D1532" s="1100">
        <v>1.0137892481442417</v>
      </c>
      <c r="E1532" s="1100">
        <v>1.0016935375024323</v>
      </c>
      <c r="F1532" s="1100">
        <v>0.96937066668787453</v>
      </c>
      <c r="G1532" s="1100">
        <v>1.0134125060427668</v>
      </c>
      <c r="H1532" s="1100">
        <v>1.0086115613058479</v>
      </c>
      <c r="I1532" s="1100">
        <v>1.022929134259646</v>
      </c>
      <c r="K1532">
        <v>1.1163447594297369</v>
      </c>
      <c r="L1532">
        <v>0</v>
      </c>
      <c r="M1532">
        <v>7.7130879982898045E-4</v>
      </c>
      <c r="N1532">
        <v>7.1342582727341342E-2</v>
      </c>
      <c r="O1532">
        <v>9.9187068404806532E-3</v>
      </c>
      <c r="P1532">
        <v>1.3181164599030258E-2</v>
      </c>
      <c r="Q1532">
        <v>4.3143533620239018E-4</v>
      </c>
      <c r="R1532">
        <v>7.6961512543310658E-4</v>
      </c>
      <c r="S1532">
        <v>7.1666365856577555E-2</v>
      </c>
      <c r="T1532">
        <v>0.80217464890054424</v>
      </c>
      <c r="U1532">
        <v>0</v>
      </c>
      <c r="V1532">
        <v>9.1767474799822724E-2</v>
      </c>
      <c r="W1532">
        <v>4.682010825027292E-2</v>
      </c>
      <c r="X1532">
        <v>6.9493271259891461E-3</v>
      </c>
      <c r="Y1532">
        <v>2.0946386678710014E-3</v>
      </c>
    </row>
    <row r="1533" spans="1:25" x14ac:dyDescent="0.25">
      <c r="A1533" s="1096"/>
      <c r="B1533" s="1455">
        <v>1283</v>
      </c>
      <c r="C1533" s="1100">
        <v>1.019246155456194</v>
      </c>
      <c r="D1533" s="1100">
        <v>0.96794114629076</v>
      </c>
      <c r="E1533" s="1100">
        <v>1.0446501722950732</v>
      </c>
      <c r="F1533" s="1100">
        <v>1.006419501559459</v>
      </c>
      <c r="G1533" s="1100">
        <v>1.0177726789370596</v>
      </c>
      <c r="H1533" s="1100">
        <v>1.0023936379328162</v>
      </c>
      <c r="I1533" s="1100">
        <v>1.0291159717475373</v>
      </c>
      <c r="K1533">
        <v>1.1576652641681833</v>
      </c>
      <c r="L1533">
        <v>0</v>
      </c>
      <c r="M1533">
        <v>7.2705472671672107E-4</v>
      </c>
      <c r="N1533">
        <v>7.6550719340249124E-2</v>
      </c>
      <c r="O1533">
        <v>1.0301621141294371E-2</v>
      </c>
      <c r="P1533">
        <v>1.4049339169650657E-2</v>
      </c>
      <c r="Q1533">
        <v>4.6760712966123242E-4</v>
      </c>
      <c r="R1533">
        <v>7.2544832419018767E-4</v>
      </c>
      <c r="S1533">
        <v>7.496686102612303E-2</v>
      </c>
      <c r="T1533">
        <v>0.83000361672321898</v>
      </c>
      <c r="U1533">
        <v>0</v>
      </c>
      <c r="V1533">
        <v>9.2394156400424601E-2</v>
      </c>
      <c r="W1533">
        <v>4.8994207504790291E-2</v>
      </c>
      <c r="X1533">
        <v>7.9643109408261518E-3</v>
      </c>
      <c r="Y1533">
        <v>1.9744311944698925E-3</v>
      </c>
    </row>
    <row r="1534" spans="1:25" x14ac:dyDescent="0.25">
      <c r="A1534" s="1096"/>
      <c r="B1534" s="1455">
        <v>1284</v>
      </c>
      <c r="C1534" s="1100">
        <v>1.0201724433387369</v>
      </c>
      <c r="D1534" s="1100">
        <v>1.011467832429336</v>
      </c>
      <c r="E1534" s="1100">
        <v>1.0191466974206624</v>
      </c>
      <c r="F1534" s="1100">
        <v>0.96127731483936285</v>
      </c>
      <c r="G1534" s="1100">
        <v>0.99481367742511306</v>
      </c>
      <c r="H1534" s="1100">
        <v>1.0227311425250878</v>
      </c>
      <c r="I1534" s="1100">
        <v>1.0015072674157672</v>
      </c>
      <c r="K1534">
        <v>1.1144701216998172</v>
      </c>
      <c r="L1534">
        <v>0</v>
      </c>
      <c r="M1534">
        <v>7.6796405599801416E-4</v>
      </c>
      <c r="N1534">
        <v>7.4878538835865857E-2</v>
      </c>
      <c r="O1534">
        <v>1.0104578750342869E-2</v>
      </c>
      <c r="P1534">
        <v>1.3244534325104942E-2</v>
      </c>
      <c r="Q1534">
        <v>4.472539979835015E-4</v>
      </c>
      <c r="R1534">
        <v>7.6630100720655029E-4</v>
      </c>
      <c r="S1534">
        <v>7.2041022256317588E-2</v>
      </c>
      <c r="T1534">
        <v>0.79437215518952642</v>
      </c>
      <c r="U1534">
        <v>0</v>
      </c>
      <c r="V1534">
        <v>9.1386807830039718E-2</v>
      </c>
      <c r="W1534">
        <v>4.8637668501020595E-2</v>
      </c>
      <c r="X1534">
        <v>7.2736063318500528E-3</v>
      </c>
      <c r="Y1534">
        <v>2.0856187305570949E-3</v>
      </c>
    </row>
    <row r="1535" spans="1:25" x14ac:dyDescent="0.25">
      <c r="A1535" s="1096"/>
      <c r="B1535" s="1455">
        <v>1285</v>
      </c>
      <c r="C1535" s="1100">
        <v>1.0072201467245496</v>
      </c>
      <c r="D1535" s="1100">
        <v>1.0081521215216964</v>
      </c>
      <c r="E1535" s="1100">
        <v>1.0066865343726259</v>
      </c>
      <c r="F1535" s="1100">
        <v>1.0113585651580392</v>
      </c>
      <c r="G1535" s="1100">
        <v>0.97297934682482501</v>
      </c>
      <c r="H1535" s="1100">
        <v>1.0085437617013124</v>
      </c>
      <c r="I1535" s="1100">
        <v>0.97726846384269073</v>
      </c>
      <c r="K1535">
        <v>1.1543179081882684</v>
      </c>
      <c r="L1535">
        <v>0</v>
      </c>
      <c r="M1535">
        <v>7.8820812965789302E-4</v>
      </c>
      <c r="N1535">
        <v>7.4013453406301485E-2</v>
      </c>
      <c r="O1535">
        <v>1.0243925053919944E-2</v>
      </c>
      <c r="P1535">
        <v>1.367529096807602E-2</v>
      </c>
      <c r="Q1535">
        <v>4.4781812523173096E-4</v>
      </c>
      <c r="R1535">
        <v>7.8647723060466378E-4</v>
      </c>
      <c r="S1535">
        <v>7.0748541167123355E-2</v>
      </c>
      <c r="T1535">
        <v>0.83658689004771003</v>
      </c>
      <c r="U1535">
        <v>0</v>
      </c>
      <c r="V1535">
        <v>9.0763908729707243E-2</v>
      </c>
      <c r="W1535">
        <v>4.8429469445673189E-2</v>
      </c>
      <c r="X1535">
        <v>7.2698103840227232E-3</v>
      </c>
      <c r="Y1535">
        <v>2.1405317595565043E-3</v>
      </c>
    </row>
    <row r="1536" spans="1:25" x14ac:dyDescent="0.25">
      <c r="A1536" s="1096"/>
      <c r="B1536" s="1455">
        <v>1286</v>
      </c>
      <c r="C1536" s="1100">
        <v>1.0042070654722015</v>
      </c>
      <c r="D1536" s="1100">
        <v>0.9715419193562691</v>
      </c>
      <c r="E1536" s="1100">
        <v>1.0432149264631503</v>
      </c>
      <c r="F1536" s="1100">
        <v>1.0164296374629829</v>
      </c>
      <c r="G1536" s="1100">
        <v>1.0204891842094028</v>
      </c>
      <c r="H1536" s="1100">
        <v>0.9968594958404362</v>
      </c>
      <c r="I1536" s="1100">
        <v>1.0228754588799314</v>
      </c>
      <c r="K1536">
        <v>1.1679710663117508</v>
      </c>
      <c r="L1536">
        <v>0</v>
      </c>
      <c r="M1536">
        <v>7.3497919994533142E-4</v>
      </c>
      <c r="N1536">
        <v>7.7050375344402566E-2</v>
      </c>
      <c r="O1536">
        <v>1.043990467007443E-2</v>
      </c>
      <c r="P1536">
        <v>1.4163093015121709E-2</v>
      </c>
      <c r="Q1536">
        <v>4.7321717282949573E-4</v>
      </c>
      <c r="R1536">
        <v>7.3334627329770398E-4</v>
      </c>
      <c r="S1536">
        <v>7.5250045187087819E-2</v>
      </c>
      <c r="T1536">
        <v>0.83835357365800611</v>
      </c>
      <c r="U1536">
        <v>0</v>
      </c>
      <c r="V1536">
        <v>9.2874381243783291E-2</v>
      </c>
      <c r="W1536">
        <v>4.9354654183624933E-2</v>
      </c>
      <c r="X1536">
        <v>8.0175279550851776E-3</v>
      </c>
      <c r="Y1536">
        <v>1.9959268083823293E-3</v>
      </c>
    </row>
    <row r="1537" spans="1:25" x14ac:dyDescent="0.25">
      <c r="A1537" s="1096"/>
      <c r="B1537" s="1455">
        <v>1287</v>
      </c>
      <c r="C1537" s="1100">
        <v>0.96760822287448689</v>
      </c>
      <c r="D1537" s="1100">
        <v>0.99586243100560701</v>
      </c>
      <c r="E1537" s="1100">
        <v>0.96920166201494118</v>
      </c>
      <c r="F1537" s="1100">
        <v>0.96587278686660627</v>
      </c>
      <c r="G1537" s="1100">
        <v>1.0188495319323252</v>
      </c>
      <c r="H1537" s="1100">
        <v>0.9824410543970139</v>
      </c>
      <c r="I1537" s="1100">
        <v>1.0123221228300581</v>
      </c>
      <c r="K1537">
        <v>1.1251824382825153</v>
      </c>
      <c r="L1537">
        <v>0</v>
      </c>
      <c r="M1537">
        <v>8.6798607493871209E-4</v>
      </c>
      <c r="N1537">
        <v>7.2766201251247331E-2</v>
      </c>
      <c r="O1537">
        <v>1.070305833035547E-2</v>
      </c>
      <c r="P1537">
        <v>1.2929024742607462E-2</v>
      </c>
      <c r="Q1537">
        <v>4.5047345840619989E-4</v>
      </c>
      <c r="R1537">
        <v>8.6602934075000833E-4</v>
      </c>
      <c r="S1537">
        <v>7.5609056538639682E-2</v>
      </c>
      <c r="T1537">
        <v>0.80137256527817102</v>
      </c>
      <c r="U1537">
        <v>0</v>
      </c>
      <c r="V1537">
        <v>9.3726932901284421E-2</v>
      </c>
      <c r="W1537">
        <v>4.8696468380809051E-2</v>
      </c>
      <c r="X1537">
        <v>6.5735677561568808E-3</v>
      </c>
      <c r="Y1537">
        <v>2.3570463790260699E-3</v>
      </c>
    </row>
    <row r="1538" spans="1:25" x14ac:dyDescent="0.25">
      <c r="A1538" s="1096"/>
      <c r="B1538" s="1455">
        <v>1288</v>
      </c>
      <c r="C1538" s="1100">
        <v>1.0057371806457391</v>
      </c>
      <c r="D1538" s="1100">
        <v>1.0020848042129882</v>
      </c>
      <c r="E1538" s="1100">
        <v>1.0214431076504205</v>
      </c>
      <c r="F1538" s="1100">
        <v>0.98473183065771885</v>
      </c>
      <c r="G1538" s="1100">
        <v>0.99222840204362761</v>
      </c>
      <c r="H1538" s="1100">
        <v>1.0222496031509609</v>
      </c>
      <c r="I1538" s="1100">
        <v>1.0259554220449727</v>
      </c>
      <c r="K1538">
        <v>1.140241111885361</v>
      </c>
      <c r="L1538">
        <v>0</v>
      </c>
      <c r="M1538">
        <v>7.7780245683451495E-4</v>
      </c>
      <c r="N1538">
        <v>7.6364930814405013E-2</v>
      </c>
      <c r="O1538">
        <v>1.0288639567061237E-2</v>
      </c>
      <c r="P1538">
        <v>1.3580331194586029E-2</v>
      </c>
      <c r="Q1538">
        <v>4.5644167332912209E-4</v>
      </c>
      <c r="R1538">
        <v>7.7611730926679977E-4</v>
      </c>
      <c r="S1538">
        <v>7.5199580446112482E-2</v>
      </c>
      <c r="T1538">
        <v>0.81360607328048662</v>
      </c>
      <c r="U1538">
        <v>0</v>
      </c>
      <c r="V1538">
        <v>9.1625477480246909E-2</v>
      </c>
      <c r="W1538">
        <v>4.9536577872558982E-2</v>
      </c>
      <c r="X1538">
        <v>7.4724092353209088E-3</v>
      </c>
      <c r="Y1538">
        <v>2.1123354688219894E-3</v>
      </c>
    </row>
    <row r="1539" spans="1:25" x14ac:dyDescent="0.25">
      <c r="A1539" s="1096"/>
      <c r="B1539" s="1455">
        <v>1289</v>
      </c>
      <c r="C1539" s="1100">
        <v>1.025865792931995</v>
      </c>
      <c r="D1539" s="1100">
        <v>1.001978269047733</v>
      </c>
      <c r="E1539" s="1100">
        <v>0.9805395600526452</v>
      </c>
      <c r="F1539" s="1100">
        <v>1.0189664031979513</v>
      </c>
      <c r="G1539" s="1100">
        <v>0.98347320503765834</v>
      </c>
      <c r="H1539" s="1100">
        <v>0.98781528345573988</v>
      </c>
      <c r="I1539" s="1100">
        <v>1.016158388754276</v>
      </c>
      <c r="K1539">
        <v>1.1558697443255674</v>
      </c>
      <c r="L1539">
        <v>0</v>
      </c>
      <c r="M1539">
        <v>8.021471547028791E-4</v>
      </c>
      <c r="N1539">
        <v>6.9595356711428386E-2</v>
      </c>
      <c r="O1539">
        <v>1.0074152612219436E-2</v>
      </c>
      <c r="P1539">
        <v>1.3528892207534376E-2</v>
      </c>
      <c r="Q1539">
        <v>4.289324442558317E-4</v>
      </c>
      <c r="R1539">
        <v>8.0034868186143872E-4</v>
      </c>
      <c r="S1539">
        <v>7.1589772628034176E-2</v>
      </c>
      <c r="T1539">
        <v>0.84464942109118391</v>
      </c>
      <c r="U1539">
        <v>0</v>
      </c>
      <c r="V1539">
        <v>9.076145927432927E-2</v>
      </c>
      <c r="W1539">
        <v>4.6255425265460025E-2</v>
      </c>
      <c r="X1539">
        <v>6.8098452868071572E-3</v>
      </c>
      <c r="Y1539">
        <v>2.1782852771547677E-3</v>
      </c>
    </row>
    <row r="1540" spans="1:25" x14ac:dyDescent="0.25">
      <c r="A1540" s="1096"/>
      <c r="B1540" s="1455">
        <v>1290</v>
      </c>
      <c r="C1540" s="1100">
        <v>1.0407034153927424</v>
      </c>
      <c r="D1540" s="1100">
        <v>1.0165684799032377</v>
      </c>
      <c r="E1540" s="1100">
        <v>1.0353209086169481</v>
      </c>
      <c r="F1540" s="1100">
        <v>0.99864473670518739</v>
      </c>
      <c r="G1540" s="1100">
        <v>1.0106180128476279</v>
      </c>
      <c r="H1540" s="1100">
        <v>0.97029160342826448</v>
      </c>
      <c r="I1540" s="1100">
        <v>0.96060916032738486</v>
      </c>
      <c r="K1540">
        <v>1.1308476722107448</v>
      </c>
      <c r="L1540">
        <v>0</v>
      </c>
      <c r="M1540">
        <v>6.8916511398635263E-4</v>
      </c>
      <c r="N1540">
        <v>7.0545381171714813E-2</v>
      </c>
      <c r="O1540">
        <v>9.8904002387327737E-3</v>
      </c>
      <c r="P1540">
        <v>1.3731729899210969E-2</v>
      </c>
      <c r="Q1540">
        <v>4.4484164032205408E-4</v>
      </c>
      <c r="R1540">
        <v>6.8759204927081594E-4</v>
      </c>
      <c r="S1540">
        <v>6.5622097749182692E-2</v>
      </c>
      <c r="T1540">
        <v>0.8241964247289234</v>
      </c>
      <c r="U1540">
        <v>0</v>
      </c>
      <c r="V1540">
        <v>9.1585305729233804E-2</v>
      </c>
      <c r="W1540">
        <v>4.539391064939708E-2</v>
      </c>
      <c r="X1540">
        <v>7.5677545752844194E-3</v>
      </c>
      <c r="Y1540">
        <v>1.8713988934570362E-3</v>
      </c>
    </row>
    <row r="1541" spans="1:25" x14ac:dyDescent="0.25">
      <c r="A1541" s="1096"/>
      <c r="B1541" s="1455">
        <v>1291</v>
      </c>
      <c r="C1541" s="1100">
        <v>0.9757690745368498</v>
      </c>
      <c r="D1541" s="1100">
        <v>0.9651077144866187</v>
      </c>
      <c r="E1541" s="1100">
        <v>1.0154744307941006</v>
      </c>
      <c r="F1541" s="1100">
        <v>1.0018416521332456</v>
      </c>
      <c r="G1541" s="1100">
        <v>1.0231868869824565</v>
      </c>
      <c r="H1541" s="1100">
        <v>1.0052813114386114</v>
      </c>
      <c r="I1541" s="1100">
        <v>0.96113911910733596</v>
      </c>
      <c r="K1541">
        <v>1.1588717815047864</v>
      </c>
      <c r="L1541">
        <v>0</v>
      </c>
      <c r="M1541">
        <v>8.1032840479431658E-4</v>
      </c>
      <c r="N1541">
        <v>7.8135593850114121E-2</v>
      </c>
      <c r="O1541">
        <v>1.0763282100189892E-2</v>
      </c>
      <c r="P1541">
        <v>1.3724099865466192E-2</v>
      </c>
      <c r="Q1541">
        <v>4.7467120372660185E-4</v>
      </c>
      <c r="R1541">
        <v>8.0854315483585345E-4</v>
      </c>
      <c r="S1541">
        <v>7.3327786790364224E-2</v>
      </c>
      <c r="T1541">
        <v>0.82813487215397918</v>
      </c>
      <c r="U1541">
        <v>0</v>
      </c>
      <c r="V1541">
        <v>9.3704738359524378E-2</v>
      </c>
      <c r="W1541">
        <v>5.0862692876257214E-2</v>
      </c>
      <c r="X1541">
        <v>7.545241623837233E-3</v>
      </c>
      <c r="Y1541">
        <v>2.2005879312838343E-3</v>
      </c>
    </row>
    <row r="1542" spans="1:25" x14ac:dyDescent="0.25">
      <c r="A1542" s="1096"/>
      <c r="B1542" s="1455">
        <v>1292</v>
      </c>
      <c r="C1542" s="1100">
        <v>0.98066618697131303</v>
      </c>
      <c r="D1542" s="1100">
        <v>0.98930074426009695</v>
      </c>
      <c r="E1542" s="1100">
        <v>0.96029371050179646</v>
      </c>
      <c r="F1542" s="1100">
        <v>1.0100295993810562</v>
      </c>
      <c r="G1542" s="1100">
        <v>1.0107396821086083</v>
      </c>
      <c r="H1542" s="1100">
        <v>0.98593306431633965</v>
      </c>
      <c r="I1542" s="1100">
        <v>1.0448702999061437</v>
      </c>
      <c r="K1542">
        <v>1.1622055951569656</v>
      </c>
      <c r="L1542">
        <v>0</v>
      </c>
      <c r="M1542">
        <v>8.7772880699566922E-4</v>
      </c>
      <c r="N1542">
        <v>7.1624620177891743E-2</v>
      </c>
      <c r="O1542">
        <v>1.0585536389284476E-2</v>
      </c>
      <c r="P1542">
        <v>1.3347705779786395E-2</v>
      </c>
      <c r="Q1542">
        <v>4.4147741005162028E-4</v>
      </c>
      <c r="R1542">
        <v>8.7575711760943392E-4</v>
      </c>
      <c r="S1542">
        <v>7.7404212970537525E-2</v>
      </c>
      <c r="T1542">
        <v>0.83861484175334455</v>
      </c>
      <c r="U1542">
        <v>0</v>
      </c>
      <c r="V1542">
        <v>9.303809000579559E-2</v>
      </c>
      <c r="W1542">
        <v>4.8194175180252437E-2</v>
      </c>
      <c r="X1542">
        <v>6.5733849985307961E-3</v>
      </c>
      <c r="Y1542">
        <v>2.3835221808766473E-3</v>
      </c>
    </row>
    <row r="1543" spans="1:25" x14ac:dyDescent="0.25">
      <c r="A1543" s="1096"/>
      <c r="B1543" s="1455">
        <v>1293</v>
      </c>
      <c r="C1543" s="1100">
        <v>0.96875431928991496</v>
      </c>
      <c r="D1543" s="1100">
        <v>1.0455858345389639</v>
      </c>
      <c r="E1543" s="1100">
        <v>1.0166307296262793</v>
      </c>
      <c r="F1543" s="1100">
        <v>0.97116611454847723</v>
      </c>
      <c r="G1543" s="1100">
        <v>0.99880212234888577</v>
      </c>
      <c r="H1543" s="1100">
        <v>0.98047019500111299</v>
      </c>
      <c r="I1543" s="1100">
        <v>0.9648562761997288</v>
      </c>
      <c r="K1543">
        <v>1.122266769776995</v>
      </c>
      <c r="L1543">
        <v>0</v>
      </c>
      <c r="M1543">
        <v>7.6910113918200978E-4</v>
      </c>
      <c r="N1543">
        <v>7.4415333522095506E-2</v>
      </c>
      <c r="O1543">
        <v>1.0499786587891176E-2</v>
      </c>
      <c r="P1543">
        <v>1.3329420423758781E-2</v>
      </c>
      <c r="Q1543">
        <v>4.6358455096625316E-4</v>
      </c>
      <c r="R1543">
        <v>7.6736383991552924E-4</v>
      </c>
      <c r="S1543">
        <v>7.0173880261048774E-2</v>
      </c>
      <c r="T1543">
        <v>0.80270432705868888</v>
      </c>
      <c r="U1543">
        <v>0</v>
      </c>
      <c r="V1543">
        <v>9.2846610917938957E-2</v>
      </c>
      <c r="W1543">
        <v>4.840811290115813E-2</v>
      </c>
      <c r="X1543">
        <v>7.3389394418868804E-3</v>
      </c>
      <c r="Y1543">
        <v>2.0885114108282273E-3</v>
      </c>
    </row>
    <row r="1544" spans="1:25" x14ac:dyDescent="0.25">
      <c r="A1544" s="1096"/>
      <c r="B1544" s="1455">
        <v>1294</v>
      </c>
      <c r="C1544" s="1100">
        <v>0.98000985561996889</v>
      </c>
      <c r="D1544" s="1100">
        <v>1.0318947950595236</v>
      </c>
      <c r="E1544" s="1100">
        <v>1.0337661568817083</v>
      </c>
      <c r="F1544" s="1100">
        <v>1.0156243488300081</v>
      </c>
      <c r="G1544" s="1100">
        <v>1.0032531692947311</v>
      </c>
      <c r="H1544" s="1100">
        <v>0.99655438730586732</v>
      </c>
      <c r="I1544" s="1100">
        <v>0.99752602601698037</v>
      </c>
      <c r="K1544">
        <v>1.164312899802282</v>
      </c>
      <c r="L1544">
        <v>0</v>
      </c>
      <c r="M1544">
        <v>7.4959554783768953E-4</v>
      </c>
      <c r="N1544">
        <v>7.6377186906948349E-2</v>
      </c>
      <c r="O1544">
        <v>1.0439734385667117E-2</v>
      </c>
      <c r="P1544">
        <v>1.4031333264237385E-2</v>
      </c>
      <c r="Q1544">
        <v>4.6882967324109507E-4</v>
      </c>
      <c r="R1544">
        <v>7.4792963770071747E-4</v>
      </c>
      <c r="S1544">
        <v>7.2881930482716101E-2</v>
      </c>
      <c r="T1544">
        <v>0.83831272463117301</v>
      </c>
      <c r="U1544">
        <v>0</v>
      </c>
      <c r="V1544">
        <v>9.2745971641811059E-2</v>
      </c>
      <c r="W1544">
        <v>4.9190725435666653E-2</v>
      </c>
      <c r="X1544">
        <v>7.8305113720740539E-3</v>
      </c>
      <c r="Y1544">
        <v>2.0356179188825486E-3</v>
      </c>
    </row>
    <row r="1545" spans="1:25" x14ac:dyDescent="0.25">
      <c r="A1545" s="1096"/>
      <c r="B1545" s="1455">
        <v>1295</v>
      </c>
      <c r="C1545" s="1100">
        <v>0.99496364110424496</v>
      </c>
      <c r="D1545" s="1100">
        <v>1.0202296820806767</v>
      </c>
      <c r="E1545" s="1100">
        <v>0.97922315842317287</v>
      </c>
      <c r="F1545" s="1100">
        <v>0.98287717816594922</v>
      </c>
      <c r="G1545" s="1100">
        <v>1.001245339039248</v>
      </c>
      <c r="H1545" s="1100">
        <v>1.0055468783946357</v>
      </c>
      <c r="I1545" s="1100">
        <v>1.0192416887739257</v>
      </c>
      <c r="K1545">
        <v>1.134700843448011</v>
      </c>
      <c r="L1545">
        <v>0</v>
      </c>
      <c r="M1545">
        <v>8.3812780428087251E-4</v>
      </c>
      <c r="N1545">
        <v>7.2430898345495917E-2</v>
      </c>
      <c r="O1545">
        <v>1.0311882826002119E-2</v>
      </c>
      <c r="P1545">
        <v>1.3168888138155171E-2</v>
      </c>
      <c r="Q1545">
        <v>4.3846731202685629E-4</v>
      </c>
      <c r="R1545">
        <v>8.3628179659851255E-4</v>
      </c>
      <c r="S1545">
        <v>7.408498102306238E-2</v>
      </c>
      <c r="T1545">
        <v>0.81482056701826078</v>
      </c>
      <c r="U1545">
        <v>0</v>
      </c>
      <c r="V1545">
        <v>9.2271403218575965E-2</v>
      </c>
      <c r="W1545">
        <v>4.8178306101160764E-2</v>
      </c>
      <c r="X1545">
        <v>6.7212121028306492E-3</v>
      </c>
      <c r="Y1545">
        <v>2.2760833701209924E-3</v>
      </c>
    </row>
    <row r="1546" spans="1:25" x14ac:dyDescent="0.25">
      <c r="A1546" s="1096"/>
      <c r="B1546" s="1455">
        <v>1296</v>
      </c>
      <c r="C1546" s="1100">
        <v>1.03218903853991</v>
      </c>
      <c r="D1546" s="1100">
        <v>0.9867462469259991</v>
      </c>
      <c r="E1546" s="1100">
        <v>0.98067374837890586</v>
      </c>
      <c r="F1546" s="1100">
        <v>0.98999283041870956</v>
      </c>
      <c r="G1546" s="1100">
        <v>1.0250917707749803</v>
      </c>
      <c r="H1546" s="1100">
        <v>1.0066823896045078</v>
      </c>
      <c r="I1546" s="1100">
        <v>0.97905710145968727</v>
      </c>
      <c r="K1546">
        <v>1.1335527048295646</v>
      </c>
      <c r="L1546">
        <v>0</v>
      </c>
      <c r="M1546">
        <v>8.1722697739969351E-4</v>
      </c>
      <c r="N1546">
        <v>7.0935481611074255E-2</v>
      </c>
      <c r="O1546">
        <v>1.007401974681533E-2</v>
      </c>
      <c r="P1546">
        <v>1.3205751662684177E-2</v>
      </c>
      <c r="Q1546">
        <v>4.2898527220226279E-4</v>
      </c>
      <c r="R1546">
        <v>8.154290348883536E-4</v>
      </c>
      <c r="S1546">
        <v>6.9827458460107891E-2</v>
      </c>
      <c r="T1546">
        <v>0.82062354724748998</v>
      </c>
      <c r="U1546">
        <v>0</v>
      </c>
      <c r="V1546">
        <v>9.2393383968583778E-2</v>
      </c>
      <c r="W1546">
        <v>4.7142299475726818E-2</v>
      </c>
      <c r="X1546">
        <v>6.7042463005332134E-3</v>
      </c>
      <c r="Y1546">
        <v>2.2193290268569914E-3</v>
      </c>
    </row>
    <row r="1547" spans="1:25" x14ac:dyDescent="0.25">
      <c r="A1547" s="1096"/>
      <c r="B1547" s="1455">
        <v>1297</v>
      </c>
      <c r="C1547" s="1100">
        <v>1.0365811134950682</v>
      </c>
      <c r="D1547" s="1100">
        <v>0.96659946513896366</v>
      </c>
      <c r="E1547" s="1100">
        <v>0.98945570778461212</v>
      </c>
      <c r="F1547" s="1100">
        <v>1.0003298263886875</v>
      </c>
      <c r="G1547" s="1100">
        <v>1.0028707845420037</v>
      </c>
      <c r="H1547" s="1100">
        <v>0.97150914521312215</v>
      </c>
      <c r="I1547" s="1100">
        <v>1.0340936041522359</v>
      </c>
      <c r="K1547">
        <v>1.140843759098948</v>
      </c>
      <c r="L1547">
        <v>0</v>
      </c>
      <c r="M1547">
        <v>7.7757778441148726E-4</v>
      </c>
      <c r="N1547">
        <v>6.930513915083604E-2</v>
      </c>
      <c r="O1547">
        <v>1.0117255296774362E-2</v>
      </c>
      <c r="P1547">
        <v>1.3427619005341892E-2</v>
      </c>
      <c r="Q1547">
        <v>4.3467823475584077E-4</v>
      </c>
      <c r="R1547">
        <v>7.7580513631384418E-4</v>
      </c>
      <c r="S1547">
        <v>7.2786043522893584E-2</v>
      </c>
      <c r="T1547">
        <v>0.82860622976449716</v>
      </c>
      <c r="U1547">
        <v>0</v>
      </c>
      <c r="V1547">
        <v>9.1342450304285727E-2</v>
      </c>
      <c r="W1547">
        <v>4.5816186804855122E-2</v>
      </c>
      <c r="X1547">
        <v>6.8984438258525866E-3</v>
      </c>
      <c r="Y1547">
        <v>2.1114858369518314E-3</v>
      </c>
    </row>
    <row r="1548" spans="1:25" x14ac:dyDescent="0.25">
      <c r="A1548" s="1096"/>
      <c r="B1548" s="1455">
        <v>1298</v>
      </c>
      <c r="C1548" s="1100">
        <v>1.0298330107185698</v>
      </c>
      <c r="D1548" s="1100">
        <v>0.99480931366483727</v>
      </c>
      <c r="E1548" s="1100">
        <v>1.0209215713238977</v>
      </c>
      <c r="F1548" s="1100">
        <v>1.0365540799993729</v>
      </c>
      <c r="G1548" s="1100">
        <v>0.99145368104345977</v>
      </c>
      <c r="H1548" s="1100">
        <v>1.004097044865667</v>
      </c>
      <c r="I1548" s="1100">
        <v>0.98613398373975802</v>
      </c>
      <c r="K1548">
        <v>1.1729102433631857</v>
      </c>
      <c r="L1548">
        <v>0</v>
      </c>
      <c r="M1548">
        <v>7.4910544558797506E-4</v>
      </c>
      <c r="N1548">
        <v>7.342894951230941E-2</v>
      </c>
      <c r="O1548">
        <v>1.0077071085445123E-2</v>
      </c>
      <c r="P1548">
        <v>1.4089848212066155E-2</v>
      </c>
      <c r="Q1548">
        <v>4.4682414219206234E-4</v>
      </c>
      <c r="R1548">
        <v>7.4745313059689498E-4</v>
      </c>
      <c r="S1548">
        <v>7.014393282900272E-2</v>
      </c>
      <c r="T1548">
        <v>0.85645812085433592</v>
      </c>
      <c r="U1548">
        <v>0</v>
      </c>
      <c r="V1548">
        <v>9.1015525772944819E-2</v>
      </c>
      <c r="W1548">
        <v>4.7646581320586592E-2</v>
      </c>
      <c r="X1548">
        <v>7.5707209256669142E-3</v>
      </c>
      <c r="Y1548">
        <v>2.0343210236264671E-3</v>
      </c>
    </row>
    <row r="1549" spans="1:25" x14ac:dyDescent="0.25">
      <c r="A1549" s="1096"/>
      <c r="B1549" s="1455">
        <v>1299</v>
      </c>
      <c r="C1549" s="1100">
        <v>0.97968731564764577</v>
      </c>
      <c r="D1549" s="1100">
        <v>1.0378514478463106</v>
      </c>
      <c r="E1549" s="1100">
        <v>0.99037336999582548</v>
      </c>
      <c r="F1549" s="1100">
        <v>1.0020762062500641</v>
      </c>
      <c r="G1549" s="1100">
        <v>0.97598377227817668</v>
      </c>
      <c r="H1549" s="1100">
        <v>0.99827977169341664</v>
      </c>
      <c r="I1549" s="1100">
        <v>1.0262740234311833</v>
      </c>
      <c r="K1549">
        <v>1.1516879387623398</v>
      </c>
      <c r="L1549">
        <v>0</v>
      </c>
      <c r="M1549">
        <v>8.2013281271586596E-4</v>
      </c>
      <c r="N1549">
        <v>7.3305633008693055E-2</v>
      </c>
      <c r="O1549">
        <v>1.0404845728089402E-2</v>
      </c>
      <c r="P1549">
        <v>1.3486265087740507E-2</v>
      </c>
      <c r="Q1549">
        <v>4.4744913845086491E-4</v>
      </c>
      <c r="R1549">
        <v>8.1831328994598322E-4</v>
      </c>
      <c r="S1549">
        <v>7.4806064303761938E-2</v>
      </c>
      <c r="T1549">
        <v>0.82999163385487185</v>
      </c>
      <c r="U1549">
        <v>0</v>
      </c>
      <c r="V1549">
        <v>9.1581111564688275E-2</v>
      </c>
      <c r="W1549">
        <v>4.8434195015957401E-2</v>
      </c>
      <c r="X1549">
        <v>7.005381564526585E-3</v>
      </c>
      <c r="Y1549">
        <v>2.2271790183294345E-3</v>
      </c>
    </row>
    <row r="1550" spans="1:25" x14ac:dyDescent="0.25">
      <c r="A1550" s="1096"/>
      <c r="B1550" s="1455">
        <v>1300</v>
      </c>
      <c r="C1550" s="1100">
        <v>1.0140763812628673</v>
      </c>
      <c r="D1550" s="1100">
        <v>1.0186079031607596</v>
      </c>
      <c r="E1550" s="1100">
        <v>0.99263860518545599</v>
      </c>
      <c r="F1550" s="1100">
        <v>1.0143032414761959</v>
      </c>
      <c r="G1550" s="1100">
        <v>0.99428525752710939</v>
      </c>
      <c r="H1550" s="1100">
        <v>1.020018967322428</v>
      </c>
      <c r="I1550" s="1100">
        <v>0.96332698259322858</v>
      </c>
      <c r="K1550">
        <v>1.1554256848031006</v>
      </c>
      <c r="L1550">
        <v>0</v>
      </c>
      <c r="M1550">
        <v>8.118397071699725E-4</v>
      </c>
      <c r="N1550">
        <v>7.3066464511148718E-2</v>
      </c>
      <c r="O1550">
        <v>1.0128259110150251E-2</v>
      </c>
      <c r="P1550">
        <v>1.3569108936304622E-2</v>
      </c>
      <c r="Q1550">
        <v>4.365523935721544E-4</v>
      </c>
      <c r="R1550">
        <v>8.1007696976928252E-4</v>
      </c>
      <c r="S1550">
        <v>6.9327047173949177E-2</v>
      </c>
      <c r="T1550">
        <v>0.83996619809781126</v>
      </c>
      <c r="U1550">
        <v>0</v>
      </c>
      <c r="V1550">
        <v>9.150627024078728E-2</v>
      </c>
      <c r="W1550">
        <v>4.8210783469419753E-2</v>
      </c>
      <c r="X1550">
        <v>7.0120011374473126E-3</v>
      </c>
      <c r="Y1550">
        <v>2.2047624699106719E-3</v>
      </c>
    </row>
    <row r="1551" spans="1:25" x14ac:dyDescent="0.25">
      <c r="A1551" s="1096"/>
      <c r="B1551" s="1455">
        <v>1301</v>
      </c>
      <c r="C1551" s="1100">
        <v>1.0287248902868666</v>
      </c>
      <c r="D1551" s="1100">
        <v>0.96482481068978132</v>
      </c>
      <c r="E1551" s="1100">
        <v>1.001208197552371</v>
      </c>
      <c r="F1551" s="1100">
        <v>0.9947599335040479</v>
      </c>
      <c r="G1551" s="1100">
        <v>0.998444581063199</v>
      </c>
      <c r="H1551" s="1100">
        <v>1.0126994002699026</v>
      </c>
      <c r="I1551" s="1100">
        <v>1.0266279436346768</v>
      </c>
      <c r="K1551">
        <v>1.144617130845432</v>
      </c>
      <c r="L1551">
        <v>0</v>
      </c>
      <c r="M1551">
        <v>7.9766611193950523E-4</v>
      </c>
      <c r="N1551">
        <v>7.3673074782867415E-2</v>
      </c>
      <c r="O1551">
        <v>1.02058060389527E-2</v>
      </c>
      <c r="P1551">
        <v>1.3497561963715283E-2</v>
      </c>
      <c r="Q1551">
        <v>4.4370698589302307E-4</v>
      </c>
      <c r="R1551">
        <v>7.9592163124770341E-4</v>
      </c>
      <c r="S1551">
        <v>7.4591811338872022E-2</v>
      </c>
      <c r="T1551">
        <v>0.82321674282928947</v>
      </c>
      <c r="U1551">
        <v>0</v>
      </c>
      <c r="V1551">
        <v>9.133733084569394E-2</v>
      </c>
      <c r="W1551">
        <v>4.8363476841084649E-2</v>
      </c>
      <c r="X1551">
        <v>7.1231273949937243E-3</v>
      </c>
      <c r="Y1551">
        <v>2.166236304761023E-3</v>
      </c>
    </row>
    <row r="1552" spans="1:25" x14ac:dyDescent="0.25">
      <c r="A1552" s="1096"/>
      <c r="B1552" s="1455">
        <v>1302</v>
      </c>
      <c r="C1552" s="1100">
        <v>0.99734973038230257</v>
      </c>
      <c r="D1552" s="1100">
        <v>0.99500187808336482</v>
      </c>
      <c r="E1552" s="1100">
        <v>1.0216511289279586</v>
      </c>
      <c r="F1552" s="1100">
        <v>1.0009748189433305</v>
      </c>
      <c r="G1552" s="1100">
        <v>1.0293761512128303</v>
      </c>
      <c r="H1552" s="1100">
        <v>1.0037316682949207</v>
      </c>
      <c r="I1552" s="1100">
        <v>0.97344638622994684</v>
      </c>
      <c r="K1552">
        <v>1.1511872393339113</v>
      </c>
      <c r="L1552">
        <v>0</v>
      </c>
      <c r="M1552">
        <v>7.7198921294558526E-4</v>
      </c>
      <c r="N1552">
        <v>7.5838720915943833E-2</v>
      </c>
      <c r="O1552">
        <v>1.0404712375850417E-2</v>
      </c>
      <c r="P1552">
        <v>1.374134464932714E-2</v>
      </c>
      <c r="Q1552">
        <v>4.6168647464971574E-4</v>
      </c>
      <c r="R1552">
        <v>7.7028580298181407E-4</v>
      </c>
      <c r="S1552">
        <v>7.147582690058446E-2</v>
      </c>
      <c r="T1552">
        <v>0.82701273054010815</v>
      </c>
      <c r="U1552">
        <v>0</v>
      </c>
      <c r="V1552">
        <v>9.342048673499008E-2</v>
      </c>
      <c r="W1552">
        <v>4.9189255242378709E-2</v>
      </c>
      <c r="X1552">
        <v>7.5477148789729488E-3</v>
      </c>
      <c r="Y1552">
        <v>2.0964640310697879E-3</v>
      </c>
    </row>
    <row r="1553" spans="1:25" x14ac:dyDescent="0.25">
      <c r="A1553" s="1096"/>
      <c r="B1553" s="1455">
        <v>1303</v>
      </c>
      <c r="C1553" s="1100">
        <v>0.9674401199618019</v>
      </c>
      <c r="D1553" s="1100">
        <v>1.0402197387045353</v>
      </c>
      <c r="E1553" s="1100">
        <v>0.99031900767948489</v>
      </c>
      <c r="F1553" s="1100">
        <v>0.99254541360731463</v>
      </c>
      <c r="G1553" s="1100">
        <v>0.97538601888226439</v>
      </c>
      <c r="H1553" s="1100">
        <v>1.0112157873690257</v>
      </c>
      <c r="I1553" s="1100">
        <v>1.0042867650657583</v>
      </c>
      <c r="K1553">
        <v>1.1469620185442633</v>
      </c>
      <c r="L1553">
        <v>0</v>
      </c>
      <c r="M1553">
        <v>8.4060523566442679E-4</v>
      </c>
      <c r="N1553">
        <v>7.512530094997398E-2</v>
      </c>
      <c r="O1553">
        <v>1.0526944494344581E-2</v>
      </c>
      <c r="P1553">
        <v>1.3379881987115042E-2</v>
      </c>
      <c r="Q1553">
        <v>4.5267499456397861E-4</v>
      </c>
      <c r="R1553">
        <v>8.3876415071711748E-4</v>
      </c>
      <c r="S1553">
        <v>7.4581200835918585E-2</v>
      </c>
      <c r="T1553">
        <v>0.8221011345331859</v>
      </c>
      <c r="U1553">
        <v>0</v>
      </c>
      <c r="V1553">
        <v>9.1875734037843076E-2</v>
      </c>
      <c r="W1553">
        <v>4.9638094562926907E-2</v>
      </c>
      <c r="X1553">
        <v>7.0000537136133837E-3</v>
      </c>
      <c r="Y1553">
        <v>2.2828395197240204E-3</v>
      </c>
    </row>
    <row r="1554" spans="1:25" x14ac:dyDescent="0.25">
      <c r="A1554" s="1096"/>
      <c r="B1554" s="1455">
        <v>1304</v>
      </c>
      <c r="C1554" s="1100">
        <v>1.0127192393602535</v>
      </c>
      <c r="D1554" s="1100">
        <v>1.0071507907738437</v>
      </c>
      <c r="E1554" s="1100">
        <v>0.95711068398577115</v>
      </c>
      <c r="F1554" s="1100">
        <v>0.99869615171198201</v>
      </c>
      <c r="G1554" s="1100">
        <v>1.019646731272291</v>
      </c>
      <c r="H1554" s="1100">
        <v>1.0004313925328916</v>
      </c>
      <c r="I1554" s="1100">
        <v>0.98749662278073214</v>
      </c>
      <c r="K1554">
        <v>1.1418357310327456</v>
      </c>
      <c r="L1554">
        <v>0</v>
      </c>
      <c r="M1554">
        <v>8.6193496971720819E-4</v>
      </c>
      <c r="N1554">
        <v>6.9662892538316978E-2</v>
      </c>
      <c r="O1554">
        <v>1.0176421068616274E-2</v>
      </c>
      <c r="P1554">
        <v>1.3100186917643772E-2</v>
      </c>
      <c r="Q1554">
        <v>4.2302774209907016E-4</v>
      </c>
      <c r="R1554">
        <v>8.6002681859189041E-4</v>
      </c>
      <c r="S1554">
        <v>7.0759659680353568E-2</v>
      </c>
      <c r="T1554">
        <v>0.82941952426291987</v>
      </c>
      <c r="U1554">
        <v>0</v>
      </c>
      <c r="V1554">
        <v>9.2619472510023851E-2</v>
      </c>
      <c r="W1554">
        <v>4.6965902463509311E-2</v>
      </c>
      <c r="X1554">
        <v>6.369842507945131E-3</v>
      </c>
      <c r="Y1554">
        <v>2.3407094924425714E-3</v>
      </c>
    </row>
    <row r="1555" spans="1:25" x14ac:dyDescent="0.25">
      <c r="A1555" s="1096"/>
      <c r="B1555" s="1455">
        <v>1305</v>
      </c>
      <c r="C1555" s="1100">
        <v>1.0167556458105509</v>
      </c>
      <c r="D1555" s="1100">
        <v>0.9921450482236126</v>
      </c>
      <c r="E1555" s="1100">
        <v>1.0162647421082744</v>
      </c>
      <c r="F1555" s="1100">
        <v>1.0453325176437653</v>
      </c>
      <c r="G1555" s="1100">
        <v>1.0061309333671427</v>
      </c>
      <c r="H1555" s="1100">
        <v>0.99800854806556072</v>
      </c>
      <c r="I1555" s="1100">
        <v>0.97164943264674764</v>
      </c>
      <c r="K1555">
        <v>1.1819060670652777</v>
      </c>
      <c r="L1555">
        <v>0</v>
      </c>
      <c r="M1555">
        <v>7.6229790050091136E-4</v>
      </c>
      <c r="N1555">
        <v>7.3678597147146863E-2</v>
      </c>
      <c r="O1555">
        <v>1.0216127468537364E-2</v>
      </c>
      <c r="P1555">
        <v>1.4155160203731221E-2</v>
      </c>
      <c r="Q1555">
        <v>4.508960810987197E-4</v>
      </c>
      <c r="R1555">
        <v>7.6060622897075592E-4</v>
      </c>
      <c r="S1555">
        <v>6.9856191976099172E-2</v>
      </c>
      <c r="T1555">
        <v>0.86403069747426742</v>
      </c>
      <c r="U1555">
        <v>0</v>
      </c>
      <c r="V1555">
        <v>9.1951739165263058E-2</v>
      </c>
      <c r="W1555">
        <v>4.7939149046575535E-2</v>
      </c>
      <c r="X1555">
        <v>7.5590807526049342E-3</v>
      </c>
      <c r="Y1555">
        <v>2.0701194214824033E-3</v>
      </c>
    </row>
    <row r="1556" spans="1:25" x14ac:dyDescent="0.25">
      <c r="A1556" s="1096"/>
      <c r="B1556" s="1455">
        <v>1306</v>
      </c>
      <c r="C1556" s="1100">
        <v>0.99289107641136232</v>
      </c>
      <c r="D1556" s="1100">
        <v>1.0156419857735886</v>
      </c>
      <c r="E1556" s="1100">
        <v>1.019513902553167</v>
      </c>
      <c r="F1556" s="1100">
        <v>1.0239005115082369</v>
      </c>
      <c r="G1556" s="1100">
        <v>1.0149503783400464</v>
      </c>
      <c r="H1556" s="1100">
        <v>0.98293652561915446</v>
      </c>
      <c r="I1556" s="1100">
        <v>1.004455773384096</v>
      </c>
      <c r="K1556">
        <v>1.1677026090914302</v>
      </c>
      <c r="L1556">
        <v>0</v>
      </c>
      <c r="M1556">
        <v>7.5653610437060974E-4</v>
      </c>
      <c r="N1556">
        <v>7.3839558615208911E-2</v>
      </c>
      <c r="O1556">
        <v>1.0365250943025393E-2</v>
      </c>
      <c r="P1556">
        <v>1.3990312096160818E-2</v>
      </c>
      <c r="Q1556">
        <v>4.5895957956424165E-4</v>
      </c>
      <c r="R1556">
        <v>7.5483147580053176E-4</v>
      </c>
      <c r="S1556">
        <v>7.2454375409615593E-2</v>
      </c>
      <c r="T1556">
        <v>0.84609752250917991</v>
      </c>
      <c r="U1556">
        <v>0</v>
      </c>
      <c r="V1556">
        <v>9.2915222037119036E-2</v>
      </c>
      <c r="W1556">
        <v>4.7952486165127609E-2</v>
      </c>
      <c r="X1556">
        <v>7.5762239179986146E-3</v>
      </c>
      <c r="Y1556">
        <v>2.0544024469999239E-3</v>
      </c>
    </row>
    <row r="1557" spans="1:25" x14ac:dyDescent="0.25">
      <c r="A1557" s="1096"/>
      <c r="B1557" s="1455">
        <v>1307</v>
      </c>
      <c r="C1557" s="1100">
        <v>1.0155040744428179</v>
      </c>
      <c r="D1557" s="1100">
        <v>0.95934073479008508</v>
      </c>
      <c r="E1557" s="1100">
        <v>1.029562094665418</v>
      </c>
      <c r="F1557" s="1100">
        <v>1.0288207967300247</v>
      </c>
      <c r="G1557" s="1100">
        <v>0.98027475685106158</v>
      </c>
      <c r="H1557" s="1100">
        <v>1.0190063387628068</v>
      </c>
      <c r="I1557" s="1100">
        <v>0.99322441613091839</v>
      </c>
      <c r="K1557">
        <v>1.1760312099299746</v>
      </c>
      <c r="L1557">
        <v>0</v>
      </c>
      <c r="M1557">
        <v>7.6828467987827373E-4</v>
      </c>
      <c r="N1557">
        <v>7.7299521766045626E-2</v>
      </c>
      <c r="O1557">
        <v>1.037158851469853E-2</v>
      </c>
      <c r="P1557">
        <v>1.4128324179734059E-2</v>
      </c>
      <c r="Q1557">
        <v>4.6383915611779384E-4</v>
      </c>
      <c r="R1557">
        <v>7.6661485523734751E-4</v>
      </c>
      <c r="S1557">
        <v>7.3607528565258526E-2</v>
      </c>
      <c r="T1557">
        <v>0.84948719741887679</v>
      </c>
      <c r="U1557">
        <v>0</v>
      </c>
      <c r="V1557">
        <v>9.0878932602547646E-2</v>
      </c>
      <c r="W1557">
        <v>4.9906237229513921E-2</v>
      </c>
      <c r="X1557">
        <v>7.8032374003858384E-3</v>
      </c>
      <c r="Y1557">
        <v>2.08647292143695E-3</v>
      </c>
    </row>
    <row r="1558" spans="1:25" x14ac:dyDescent="0.25">
      <c r="A1558" s="1096"/>
      <c r="B1558" s="1455">
        <v>1308</v>
      </c>
      <c r="C1558" s="1100">
        <v>1.003631650375969</v>
      </c>
      <c r="D1558" s="1100">
        <v>1.0084075586202668</v>
      </c>
      <c r="E1558" s="1100">
        <v>0.99084485221584295</v>
      </c>
      <c r="F1558" s="1100">
        <v>0.96298202041508052</v>
      </c>
      <c r="G1558" s="1100">
        <v>0.98700306427711815</v>
      </c>
      <c r="H1558" s="1100">
        <v>0.98169775373964319</v>
      </c>
      <c r="I1558" s="1100">
        <v>0.99373839877873005</v>
      </c>
      <c r="K1558">
        <v>1.111055480657291</v>
      </c>
      <c r="L1558">
        <v>0</v>
      </c>
      <c r="M1558">
        <v>7.9560659645338703E-4</v>
      </c>
      <c r="N1558">
        <v>7.1212180137979086E-2</v>
      </c>
      <c r="O1558">
        <v>1.0274362655776312E-2</v>
      </c>
      <c r="P1558">
        <v>1.3000166310250395E-2</v>
      </c>
      <c r="Q1558">
        <v>4.4204839537035587E-4</v>
      </c>
      <c r="R1558">
        <v>7.938116720760792E-4</v>
      </c>
      <c r="S1558">
        <v>7.1092633489082721E-2</v>
      </c>
      <c r="T1558">
        <v>0.79758081859494456</v>
      </c>
      <c r="U1558">
        <v>0</v>
      </c>
      <c r="V1558">
        <v>9.1448933069635197E-2</v>
      </c>
      <c r="W1558">
        <v>4.7037736362868357E-2</v>
      </c>
      <c r="X1558">
        <v>6.8079028743171181E-3</v>
      </c>
      <c r="Y1558">
        <v>2.1604936914437155E-3</v>
      </c>
    </row>
    <row r="1559" spans="1:25" x14ac:dyDescent="0.25">
      <c r="A1559" s="1096"/>
      <c r="B1559" s="1455">
        <v>1309</v>
      </c>
      <c r="C1559" s="1100">
        <v>1.0439698877023882</v>
      </c>
      <c r="D1559" s="1100">
        <v>0.9873597754567881</v>
      </c>
      <c r="E1559" s="1100">
        <v>1.0076485932176005</v>
      </c>
      <c r="F1559" s="1100">
        <v>1.018733610279384</v>
      </c>
      <c r="G1559" s="1100">
        <v>1.0112083662483811</v>
      </c>
      <c r="H1559" s="1100">
        <v>1.0185241346256368</v>
      </c>
      <c r="I1559" s="1100">
        <v>0.99287597700975772</v>
      </c>
      <c r="K1559">
        <v>1.1585518656056724</v>
      </c>
      <c r="L1559">
        <v>0</v>
      </c>
      <c r="M1559">
        <v>7.7287015016744363E-4</v>
      </c>
      <c r="N1559">
        <v>7.2785908820609452E-2</v>
      </c>
      <c r="O1559">
        <v>9.9663539088438325E-3</v>
      </c>
      <c r="P1559">
        <v>1.3774687194611737E-2</v>
      </c>
      <c r="Q1559">
        <v>4.3610382894857094E-4</v>
      </c>
      <c r="R1559">
        <v>7.7118956398775063E-4</v>
      </c>
      <c r="S1559">
        <v>7.0482608416029727E-2</v>
      </c>
      <c r="T1559">
        <v>0.84262280386905897</v>
      </c>
      <c r="U1559">
        <v>0</v>
      </c>
      <c r="V1559">
        <v>9.1532039848647967E-2</v>
      </c>
      <c r="W1559">
        <v>4.7599174906071184E-2</v>
      </c>
      <c r="X1559">
        <v>7.2549416284251123E-3</v>
      </c>
      <c r="Y1559">
        <v>2.0989237706032127E-3</v>
      </c>
    </row>
    <row r="1560" spans="1:25" x14ac:dyDescent="0.25">
      <c r="A1560" s="1096"/>
      <c r="B1560" s="1455">
        <v>1310</v>
      </c>
      <c r="C1560" s="1100">
        <v>0.99601985460556985</v>
      </c>
      <c r="D1560" s="1100">
        <v>0.99245893927324347</v>
      </c>
      <c r="E1560" s="1100">
        <v>1.0036072854843257</v>
      </c>
      <c r="F1560" s="1100">
        <v>1.0176852354968069</v>
      </c>
      <c r="G1560" s="1100">
        <v>1.0162924607040529</v>
      </c>
      <c r="H1560" s="1100">
        <v>0.97524373154658794</v>
      </c>
      <c r="I1560" s="1100">
        <v>0.99356080313263506</v>
      </c>
      <c r="K1560">
        <v>1.1611384836530536</v>
      </c>
      <c r="L1560">
        <v>0</v>
      </c>
      <c r="M1560">
        <v>7.8057983273488538E-4</v>
      </c>
      <c r="N1560">
        <v>7.2613220806928086E-2</v>
      </c>
      <c r="O1560">
        <v>1.0423315638654241E-2</v>
      </c>
      <c r="P1560">
        <v>1.3764133839017586E-2</v>
      </c>
      <c r="Q1560">
        <v>4.5425608977314388E-4</v>
      </c>
      <c r="R1560">
        <v>7.7880715521644729E-4</v>
      </c>
      <c r="S1560">
        <v>7.1965135450417578E-2</v>
      </c>
      <c r="T1560">
        <v>0.84202719974286988</v>
      </c>
      <c r="U1560">
        <v>0</v>
      </c>
      <c r="V1560">
        <v>9.2891770313672892E-2</v>
      </c>
      <c r="W1560">
        <v>4.7599932900747079E-2</v>
      </c>
      <c r="X1560">
        <v>7.2816352057021834E-3</v>
      </c>
      <c r="Y1560">
        <v>2.1196563427894515E-3</v>
      </c>
    </row>
    <row r="1561" spans="1:25" x14ac:dyDescent="0.25">
      <c r="A1561" s="1096"/>
      <c r="B1561" s="1455">
        <v>1311</v>
      </c>
      <c r="C1561" s="1100">
        <v>1.0134988541073133</v>
      </c>
      <c r="D1561" s="1100">
        <v>1.0414021669084894</v>
      </c>
      <c r="E1561" s="1100">
        <v>1.0099528951063024</v>
      </c>
      <c r="F1561" s="1100">
        <v>1.003676187848997</v>
      </c>
      <c r="G1561" s="1100">
        <v>1.0128569981511322</v>
      </c>
      <c r="H1561" s="1100">
        <v>1.0393051583789763</v>
      </c>
      <c r="I1561" s="1100">
        <v>0.98673368044103793</v>
      </c>
      <c r="K1561">
        <v>1.1509882339903772</v>
      </c>
      <c r="L1561">
        <v>0</v>
      </c>
      <c r="M1561">
        <v>7.9142016520882615E-4</v>
      </c>
      <c r="N1561">
        <v>7.5056502780171008E-2</v>
      </c>
      <c r="O1561">
        <v>1.005021794512778E-2</v>
      </c>
      <c r="P1561">
        <v>1.3643335339370588E-2</v>
      </c>
      <c r="Q1561">
        <v>4.4078836378997228E-4</v>
      </c>
      <c r="R1561">
        <v>7.8973365254400921E-4</v>
      </c>
      <c r="S1561">
        <v>7.1023896162960981E-2</v>
      </c>
      <c r="T1561">
        <v>0.83001593530418716</v>
      </c>
      <c r="U1561">
        <v>0</v>
      </c>
      <c r="V1561">
        <v>9.2316653241905647E-2</v>
      </c>
      <c r="W1561">
        <v>4.9017343010816845E-2</v>
      </c>
      <c r="X1561">
        <v>7.2758536881152233E-3</v>
      </c>
      <c r="Y1561">
        <v>2.1493946665961986E-3</v>
      </c>
    </row>
    <row r="1562" spans="1:25" x14ac:dyDescent="0.25">
      <c r="A1562" s="1096"/>
      <c r="B1562" s="1455">
        <v>1312</v>
      </c>
      <c r="C1562" s="1100">
        <v>1.000127922710637</v>
      </c>
      <c r="D1562" s="1100">
        <v>1.0222590133475427</v>
      </c>
      <c r="E1562" s="1100">
        <v>1.0209312931413665</v>
      </c>
      <c r="F1562" s="1100">
        <v>0.97900310210308472</v>
      </c>
      <c r="G1562" s="1100">
        <v>1.0086871206204864</v>
      </c>
      <c r="H1562" s="1100">
        <v>1.0102475384619247</v>
      </c>
      <c r="I1562" s="1100">
        <v>1.0078458612182166</v>
      </c>
      <c r="K1562">
        <v>1.1322090158081712</v>
      </c>
      <c r="L1562">
        <v>0</v>
      </c>
      <c r="M1562">
        <v>7.6766032224246381E-4</v>
      </c>
      <c r="N1562">
        <v>7.5250958521772451E-2</v>
      </c>
      <c r="O1562">
        <v>1.0264014807051065E-2</v>
      </c>
      <c r="P1562">
        <v>1.3491957767881908E-2</v>
      </c>
      <c r="Q1562">
        <v>4.5511774954579907E-4</v>
      </c>
      <c r="R1562">
        <v>7.6597738906998753E-4</v>
      </c>
      <c r="S1562">
        <v>7.304429197861588E-2</v>
      </c>
      <c r="T1562">
        <v>0.80890570676144069</v>
      </c>
      <c r="U1562">
        <v>0</v>
      </c>
      <c r="V1562">
        <v>9.2467084216749609E-2</v>
      </c>
      <c r="W1562">
        <v>4.8828569115129603E-2</v>
      </c>
      <c r="X1562">
        <v>7.4182598744872517E-3</v>
      </c>
      <c r="Y1562">
        <v>2.0847379486700606E-3</v>
      </c>
    </row>
    <row r="1563" spans="1:25" x14ac:dyDescent="0.25">
      <c r="A1563" s="1096"/>
      <c r="B1563" s="1455">
        <v>1313</v>
      </c>
      <c r="C1563" s="1100">
        <v>0.97690089721756046</v>
      </c>
      <c r="D1563" s="1100">
        <v>0.9618850717126527</v>
      </c>
      <c r="E1563" s="1100">
        <v>1.006976038588854</v>
      </c>
      <c r="F1563" s="1100">
        <v>0.9905573367704299</v>
      </c>
      <c r="G1563" s="1100">
        <v>0.97242297971452629</v>
      </c>
      <c r="H1563" s="1100">
        <v>1.0209041677132582</v>
      </c>
      <c r="I1563" s="1100">
        <v>0.99882676521967939</v>
      </c>
      <c r="K1563">
        <v>1.1524099758391566</v>
      </c>
      <c r="L1563">
        <v>0</v>
      </c>
      <c r="M1563">
        <v>8.3773201012772363E-4</v>
      </c>
      <c r="N1563">
        <v>7.8734687518045104E-2</v>
      </c>
      <c r="O1563">
        <v>1.0762308111120432E-2</v>
      </c>
      <c r="P1563">
        <v>1.3536680294551523E-2</v>
      </c>
      <c r="Q1563">
        <v>4.7061590545442917E-4</v>
      </c>
      <c r="R1563">
        <v>8.3591463026552379E-4</v>
      </c>
      <c r="S1563">
        <v>7.6895404745147181E-2</v>
      </c>
      <c r="T1563">
        <v>0.8193613751778831</v>
      </c>
      <c r="U1563">
        <v>0</v>
      </c>
      <c r="V1563">
        <v>9.1503911705688806E-2</v>
      </c>
      <c r="W1563">
        <v>5.1509914092790279E-2</v>
      </c>
      <c r="X1563">
        <v>7.3618116039385799E-3</v>
      </c>
      <c r="Y1563">
        <v>2.2750840643989472E-3</v>
      </c>
    </row>
    <row r="1564" spans="1:25" x14ac:dyDescent="0.25">
      <c r="A1564" s="1096"/>
      <c r="B1564" s="1455">
        <v>1314</v>
      </c>
      <c r="C1564" s="1100">
        <v>1.0060347647597756</v>
      </c>
      <c r="D1564" s="1100">
        <v>1.0141644813575335</v>
      </c>
      <c r="E1564" s="1100">
        <v>1.0147107373440283</v>
      </c>
      <c r="F1564" s="1100">
        <v>1.0017678289385301</v>
      </c>
      <c r="G1564" s="1100">
        <v>1.02182600956116</v>
      </c>
      <c r="H1564" s="1100">
        <v>1.0032504996909648</v>
      </c>
      <c r="I1564" s="1100">
        <v>1.0189124171935804</v>
      </c>
      <c r="K1564">
        <v>1.1506413669092355</v>
      </c>
      <c r="L1564">
        <v>0</v>
      </c>
      <c r="M1564">
        <v>7.7018212092218536E-4</v>
      </c>
      <c r="N1564">
        <v>7.4093210889767752E-2</v>
      </c>
      <c r="O1564">
        <v>1.0234231394095758E-2</v>
      </c>
      <c r="P1564">
        <v>1.3706129695756871E-2</v>
      </c>
      <c r="Q1564">
        <v>4.5099608997044717E-4</v>
      </c>
      <c r="R1564">
        <v>7.6848188328442878E-4</v>
      </c>
      <c r="S1564">
        <v>7.3418137901656744E-2</v>
      </c>
      <c r="T1564">
        <v>0.82812412436686611</v>
      </c>
      <c r="U1564">
        <v>0</v>
      </c>
      <c r="V1564">
        <v>9.288218180382353E-2</v>
      </c>
      <c r="W1564">
        <v>4.825292471999728E-2</v>
      </c>
      <c r="X1564">
        <v>7.3895759286227419E-3</v>
      </c>
      <c r="Y1564">
        <v>2.0915543563154743E-3</v>
      </c>
    </row>
    <row r="1565" spans="1:25" x14ac:dyDescent="0.25">
      <c r="A1565" s="1096"/>
      <c r="B1565" s="1455">
        <v>1315</v>
      </c>
      <c r="C1565" s="1100">
        <v>1.005231300925127</v>
      </c>
      <c r="D1565" s="1100">
        <v>0.98365867854130706</v>
      </c>
      <c r="E1565" s="1100">
        <v>1.0382210149959277</v>
      </c>
      <c r="F1565" s="1100">
        <v>1.009248876131341</v>
      </c>
      <c r="G1565" s="1100">
        <v>1.0011057995940147</v>
      </c>
      <c r="H1565" s="1100">
        <v>0.99438894131540811</v>
      </c>
      <c r="I1565" s="1100">
        <v>1.0027900634564391</v>
      </c>
      <c r="K1565">
        <v>1.15749896058427</v>
      </c>
      <c r="L1565">
        <v>0</v>
      </c>
      <c r="M1565">
        <v>7.3642412692804561E-4</v>
      </c>
      <c r="N1565">
        <v>7.6048798465765552E-2</v>
      </c>
      <c r="O1565">
        <v>1.0376042275200012E-2</v>
      </c>
      <c r="P1565">
        <v>1.3991936197732539E-2</v>
      </c>
      <c r="Q1565">
        <v>4.6801949690962816E-4</v>
      </c>
      <c r="R1565">
        <v>7.3478392506601785E-4</v>
      </c>
      <c r="S1565">
        <v>7.3122183133186663E-2</v>
      </c>
      <c r="T1565">
        <v>0.83275789126683841</v>
      </c>
      <c r="U1565">
        <v>0</v>
      </c>
      <c r="V1565">
        <v>9.202015259130579E-2</v>
      </c>
      <c r="W1565">
        <v>4.8853325589478663E-2</v>
      </c>
      <c r="X1565">
        <v>7.8624121471403841E-3</v>
      </c>
      <c r="Y1565">
        <v>1.9998396225739006E-3</v>
      </c>
    </row>
    <row r="1566" spans="1:25" x14ac:dyDescent="0.25">
      <c r="A1566" s="1096"/>
      <c r="B1566" s="1455">
        <v>1316</v>
      </c>
      <c r="C1566" s="1100">
        <v>0.99633053276390693</v>
      </c>
      <c r="D1566" s="1100">
        <v>1.004438998269285</v>
      </c>
      <c r="E1566" s="1100">
        <v>0.98467570523080983</v>
      </c>
      <c r="F1566" s="1100">
        <v>1.0149501135365311</v>
      </c>
      <c r="G1566" s="1100">
        <v>1.0259149418025313</v>
      </c>
      <c r="H1566" s="1100">
        <v>0.98978905889967828</v>
      </c>
      <c r="I1566" s="1100">
        <v>1.0255230544271832</v>
      </c>
      <c r="K1566">
        <v>1.1620559701365794</v>
      </c>
      <c r="L1566">
        <v>0</v>
      </c>
      <c r="M1566">
        <v>8.1972096327859417E-4</v>
      </c>
      <c r="N1566">
        <v>7.2015863396010946E-2</v>
      </c>
      <c r="O1566">
        <v>1.0363971526706536E-2</v>
      </c>
      <c r="P1566">
        <v>1.3594628646076429E-2</v>
      </c>
      <c r="Q1566">
        <v>4.4312851535329144E-4</v>
      </c>
      <c r="R1566">
        <v>8.1788675364208373E-4</v>
      </c>
      <c r="S1566">
        <v>7.4384987823044452E-2</v>
      </c>
      <c r="T1566">
        <v>0.84103991791955968</v>
      </c>
      <c r="U1566">
        <v>0</v>
      </c>
      <c r="V1566">
        <v>9.3292933409189288E-2</v>
      </c>
      <c r="W1566">
        <v>4.7745030183678337E-2</v>
      </c>
      <c r="X1566">
        <v>6.951324799480213E-3</v>
      </c>
      <c r="Y1566">
        <v>2.2260181271178754E-3</v>
      </c>
    </row>
    <row r="1567" spans="1:25" x14ac:dyDescent="0.25">
      <c r="A1567" s="1096"/>
      <c r="B1567" s="1455">
        <v>1317</v>
      </c>
      <c r="C1567" s="1100">
        <v>1.0230554665645131</v>
      </c>
      <c r="D1567" s="1100">
        <v>1.0022740773072227</v>
      </c>
      <c r="E1567" s="1100">
        <v>1.0243209509328424</v>
      </c>
      <c r="F1567" s="1100">
        <v>0.99854925020691343</v>
      </c>
      <c r="G1567" s="1100">
        <v>1.0169963655286465</v>
      </c>
      <c r="H1567" s="1100">
        <v>0.97854279215163753</v>
      </c>
      <c r="I1567" s="1100">
        <v>0.97878448645448468</v>
      </c>
      <c r="K1567">
        <v>1.1383157071049388</v>
      </c>
      <c r="L1567">
        <v>0</v>
      </c>
      <c r="M1567">
        <v>7.2751691163977072E-4</v>
      </c>
      <c r="N1567">
        <v>7.2043582380954804E-2</v>
      </c>
      <c r="O1567">
        <v>1.0114632439468056E-2</v>
      </c>
      <c r="P1567">
        <v>1.3685113002994105E-2</v>
      </c>
      <c r="Q1567">
        <v>4.5000566895845261E-4</v>
      </c>
      <c r="R1567">
        <v>7.2587030884264979E-4</v>
      </c>
      <c r="S1567">
        <v>6.8823776735037812E-2</v>
      </c>
      <c r="T1567">
        <v>0.82483419526506674</v>
      </c>
      <c r="U1567">
        <v>0</v>
      </c>
      <c r="V1567">
        <v>9.2267197708750026E-2</v>
      </c>
      <c r="W1567">
        <v>4.6654955027956538E-2</v>
      </c>
      <c r="X1567">
        <v>7.4683157809625391E-3</v>
      </c>
      <c r="Y1567">
        <v>1.9755796975866918E-3</v>
      </c>
    </row>
    <row r="1568" spans="1:25" x14ac:dyDescent="0.25">
      <c r="A1568" s="1096"/>
      <c r="B1568" s="1455">
        <v>1318</v>
      </c>
      <c r="C1568" s="1100">
        <v>1.007025860013294</v>
      </c>
      <c r="D1568" s="1100">
        <v>0.96417829807735567</v>
      </c>
      <c r="E1568" s="1100">
        <v>0.9772465981362819</v>
      </c>
      <c r="F1568" s="1100">
        <v>0.99261809800300238</v>
      </c>
      <c r="G1568" s="1100">
        <v>1.0002199569501085</v>
      </c>
      <c r="H1568" s="1100">
        <v>1.0391115080391953</v>
      </c>
      <c r="I1568" s="1100">
        <v>1.0247672931875635</v>
      </c>
      <c r="K1568">
        <v>1.1512218778816052</v>
      </c>
      <c r="L1568">
        <v>0</v>
      </c>
      <c r="M1568">
        <v>8.7887561389638348E-4</v>
      </c>
      <c r="N1568">
        <v>7.5504773789220547E-2</v>
      </c>
      <c r="O1568">
        <v>1.0420624025067533E-2</v>
      </c>
      <c r="P1568">
        <v>1.3295788444865708E-2</v>
      </c>
      <c r="Q1568">
        <v>4.4220091457593453E-4</v>
      </c>
      <c r="R1568">
        <v>8.770023850474594E-4</v>
      </c>
      <c r="S1568">
        <v>7.7166957792434362E-2</v>
      </c>
      <c r="T1568">
        <v>0.82302721573873783</v>
      </c>
      <c r="U1568">
        <v>0</v>
      </c>
      <c r="V1568">
        <v>9.1929042010895509E-2</v>
      </c>
      <c r="W1568">
        <v>5.0282992855823001E-2</v>
      </c>
      <c r="X1568">
        <v>6.7672441504931903E-3</v>
      </c>
      <c r="Y1568">
        <v>2.386911388340652E-3</v>
      </c>
    </row>
    <row r="1569" spans="1:25" x14ac:dyDescent="0.25">
      <c r="A1569" s="1096"/>
      <c r="B1569" s="1455">
        <v>1319</v>
      </c>
      <c r="C1569" s="1100">
        <v>0.99635721674876498</v>
      </c>
      <c r="D1569" s="1100">
        <v>0.96423833926928371</v>
      </c>
      <c r="E1569" s="1100">
        <v>0.96351143844819953</v>
      </c>
      <c r="F1569" s="1100">
        <v>0.9729491898935313</v>
      </c>
      <c r="G1569" s="1100">
        <v>1.0034504483842455</v>
      </c>
      <c r="H1569" s="1100">
        <v>0.99605128973915025</v>
      </c>
      <c r="I1569" s="1100">
        <v>0.9968386418264038</v>
      </c>
      <c r="K1569">
        <v>1.127388690882412</v>
      </c>
      <c r="L1569">
        <v>0</v>
      </c>
      <c r="M1569">
        <v>8.7594566335603768E-4</v>
      </c>
      <c r="N1569">
        <v>7.2181000632336872E-2</v>
      </c>
      <c r="O1569">
        <v>1.0527385988174601E-2</v>
      </c>
      <c r="P1569">
        <v>1.2916309844216208E-2</v>
      </c>
      <c r="Q1569">
        <v>4.405050885722879E-4</v>
      </c>
      <c r="R1569">
        <v>8.7399796793796898E-4</v>
      </c>
      <c r="S1569">
        <v>7.4071123998809135E-2</v>
      </c>
      <c r="T1569">
        <v>0.80761632210513989</v>
      </c>
      <c r="U1569">
        <v>0</v>
      </c>
      <c r="V1569">
        <v>9.2328908717514438E-2</v>
      </c>
      <c r="W1569">
        <v>4.8472910481619606E-2</v>
      </c>
      <c r="X1569">
        <v>6.4574373660728282E-3</v>
      </c>
      <c r="Y1569">
        <v>2.3787343553744529E-3</v>
      </c>
    </row>
    <row r="1570" spans="1:25" x14ac:dyDescent="0.25">
      <c r="A1570" s="1096"/>
      <c r="B1570" s="1455">
        <v>1320</v>
      </c>
      <c r="C1570" s="1100">
        <v>1.0213827005182605</v>
      </c>
      <c r="D1570" s="1100">
        <v>1.0011129606624172</v>
      </c>
      <c r="E1570" s="1100">
        <v>0.97810855034518041</v>
      </c>
      <c r="F1570" s="1100">
        <v>0.99723809201675906</v>
      </c>
      <c r="G1570" s="1100">
        <v>1.0195823150923988</v>
      </c>
      <c r="H1570" s="1100">
        <v>1.0018608537462192</v>
      </c>
      <c r="I1570" s="1100">
        <v>1.0072447021218782</v>
      </c>
      <c r="K1570">
        <v>1.1417076519793945</v>
      </c>
      <c r="L1570">
        <v>0</v>
      </c>
      <c r="M1570">
        <v>8.2152489836036268E-4</v>
      </c>
      <c r="N1570">
        <v>7.0756453573730116E-2</v>
      </c>
      <c r="O1570">
        <v>1.0121091799782957E-2</v>
      </c>
      <c r="P1570">
        <v>1.3290414949883181E-2</v>
      </c>
      <c r="Q1570">
        <v>4.298671373074831E-4</v>
      </c>
      <c r="R1570">
        <v>8.1970880194702771E-4</v>
      </c>
      <c r="S1570">
        <v>7.1865199676909283E-2</v>
      </c>
      <c r="T1570">
        <v>0.8268003454120485</v>
      </c>
      <c r="U1570">
        <v>0</v>
      </c>
      <c r="V1570">
        <v>9.2411430684809781E-2</v>
      </c>
      <c r="W1570">
        <v>4.7096248366874593E-2</v>
      </c>
      <c r="X1570">
        <v>6.7074393324952249E-3</v>
      </c>
      <c r="Y1570">
        <v>2.2309771419658695E-3</v>
      </c>
    </row>
    <row r="1571" spans="1:25" x14ac:dyDescent="0.25">
      <c r="A1571" s="1096"/>
      <c r="B1571" s="1455">
        <v>1321</v>
      </c>
      <c r="C1571" s="1100">
        <v>0.98659905872974274</v>
      </c>
      <c r="D1571" s="1100">
        <v>1.0364729840310454</v>
      </c>
      <c r="E1571" s="1100">
        <v>0.96936816459552189</v>
      </c>
      <c r="F1571" s="1100">
        <v>0.99088270406274792</v>
      </c>
      <c r="G1571" s="1100">
        <v>0.99953096668380592</v>
      </c>
      <c r="H1571" s="1100">
        <v>1.021356475962387</v>
      </c>
      <c r="I1571" s="1100">
        <v>0.98376295899648669</v>
      </c>
      <c r="K1571">
        <v>1.141428513977067</v>
      </c>
      <c r="L1571">
        <v>0</v>
      </c>
      <c r="M1571">
        <v>8.7066228929035645E-4</v>
      </c>
      <c r="N1571">
        <v>7.3033653606949994E-2</v>
      </c>
      <c r="O1571">
        <v>1.0330600533908198E-2</v>
      </c>
      <c r="P1571">
        <v>1.3143202983636249E-2</v>
      </c>
      <c r="Q1571">
        <v>4.348713743686353E-4</v>
      </c>
      <c r="R1571">
        <v>8.6877430678622338E-4</v>
      </c>
      <c r="S1571">
        <v>7.21518620838216E-2</v>
      </c>
      <c r="T1571">
        <v>0.82211189393460971</v>
      </c>
      <c r="U1571">
        <v>0</v>
      </c>
      <c r="V1571">
        <v>9.2407866668836991E-2</v>
      </c>
      <c r="W1571">
        <v>4.8870496820407644E-2</v>
      </c>
      <c r="X1571">
        <v>6.5814366813338474E-3</v>
      </c>
      <c r="Y1571">
        <v>2.3645172716988362E-3</v>
      </c>
    </row>
    <row r="1572" spans="1:25" x14ac:dyDescent="0.25">
      <c r="A1572" s="1096"/>
      <c r="B1572" s="1455">
        <v>1322</v>
      </c>
      <c r="C1572" s="1100">
        <v>1.0026903464251335</v>
      </c>
      <c r="D1572" s="1100">
        <v>1.0198939366918722</v>
      </c>
      <c r="E1572" s="1100">
        <v>1.0036130573558784</v>
      </c>
      <c r="F1572" s="1100">
        <v>0.98796552563693052</v>
      </c>
      <c r="G1572" s="1100">
        <v>1.0166525011395871</v>
      </c>
      <c r="H1572" s="1100">
        <v>1.0248198899656726</v>
      </c>
      <c r="I1572" s="1100">
        <v>0.98878873079936125</v>
      </c>
      <c r="K1572">
        <v>1.1398920395321028</v>
      </c>
      <c r="L1572">
        <v>0</v>
      </c>
      <c r="M1572">
        <v>8.0595478740286297E-4</v>
      </c>
      <c r="N1572">
        <v>7.4983281404488858E-2</v>
      </c>
      <c r="O1572">
        <v>1.0241655085839711E-2</v>
      </c>
      <c r="P1572">
        <v>1.3428231946406291E-2</v>
      </c>
      <c r="Q1572">
        <v>4.4634176795169578E-4</v>
      </c>
      <c r="R1572">
        <v>8.0421302580309319E-4</v>
      </c>
      <c r="S1572">
        <v>7.212488146058596E-2</v>
      </c>
      <c r="T1572">
        <v>0.81743689743498738</v>
      </c>
      <c r="U1572">
        <v>0</v>
      </c>
      <c r="V1572">
        <v>9.2741624205259596E-2</v>
      </c>
      <c r="W1572">
        <v>4.9153403672816245E-2</v>
      </c>
      <c r="X1572">
        <v>7.1486615678831465E-3</v>
      </c>
      <c r="Y1572">
        <v>2.1888027474833132E-3</v>
      </c>
    </row>
    <row r="1573" spans="1:25" x14ac:dyDescent="0.25">
      <c r="A1573" s="1096"/>
      <c r="B1573" s="1455">
        <v>1323</v>
      </c>
      <c r="C1573" s="1100">
        <v>0.98530580135910339</v>
      </c>
      <c r="D1573" s="1100">
        <v>0.96901886824749861</v>
      </c>
      <c r="E1573" s="1100">
        <v>1.0086091236559911</v>
      </c>
      <c r="F1573" s="1100">
        <v>1.0065687794917222</v>
      </c>
      <c r="G1573" s="1100">
        <v>0.99233888040663165</v>
      </c>
      <c r="H1573" s="1100">
        <v>0.98279766603923557</v>
      </c>
      <c r="I1573" s="1100">
        <v>1.0076882291544682</v>
      </c>
      <c r="K1573">
        <v>1.1581086634146898</v>
      </c>
      <c r="L1573">
        <v>0</v>
      </c>
      <c r="M1573">
        <v>7.9452423346592846E-4</v>
      </c>
      <c r="N1573">
        <v>7.503658741761926E-2</v>
      </c>
      <c r="O1573">
        <v>1.0639561318340467E-2</v>
      </c>
      <c r="P1573">
        <v>1.3716266410660524E-2</v>
      </c>
      <c r="Q1573">
        <v>4.660094782195007E-4</v>
      </c>
      <c r="R1573">
        <v>7.9273375703122915E-4</v>
      </c>
      <c r="S1573">
        <v>7.5021053675528263E-2</v>
      </c>
      <c r="T1573">
        <v>0.83249718038268439</v>
      </c>
      <c r="U1573">
        <v>0</v>
      </c>
      <c r="V1573">
        <v>9.2139136099439078E-2</v>
      </c>
      <c r="W1573">
        <v>4.9043204789838958E-2</v>
      </c>
      <c r="X1573">
        <v>7.3938943567684245E-3</v>
      </c>
      <c r="Y1573">
        <v>2.1575599620262328E-3</v>
      </c>
    </row>
    <row r="1574" spans="1:25" x14ac:dyDescent="0.25">
      <c r="A1574" s="1096"/>
      <c r="B1574" s="1455">
        <v>1324</v>
      </c>
      <c r="C1574" s="1100">
        <v>1.0072779443439008</v>
      </c>
      <c r="D1574" s="1100">
        <v>0.99923724378692358</v>
      </c>
      <c r="E1574" s="1100">
        <v>1.0295464256653901</v>
      </c>
      <c r="F1574" s="1100">
        <v>0.99688480296153614</v>
      </c>
      <c r="G1574" s="1100">
        <v>1.0362278561105844</v>
      </c>
      <c r="H1574" s="1100">
        <v>0.9672874936756839</v>
      </c>
      <c r="I1574" s="1100">
        <v>1.0000123822446818</v>
      </c>
      <c r="K1574">
        <v>1.1414988715213312</v>
      </c>
      <c r="L1574">
        <v>0</v>
      </c>
      <c r="M1574">
        <v>7.233843255004406E-4</v>
      </c>
      <c r="N1574">
        <v>7.2770042948167524E-2</v>
      </c>
      <c r="O1574">
        <v>1.0287245800715791E-2</v>
      </c>
      <c r="P1574">
        <v>1.3761699781203826E-2</v>
      </c>
      <c r="Q1574">
        <v>4.6006004435524076E-4</v>
      </c>
      <c r="R1574">
        <v>7.2172802512883503E-4</v>
      </c>
      <c r="S1574">
        <v>7.1080553047321804E-2</v>
      </c>
      <c r="T1574">
        <v>0.82311898111993953</v>
      </c>
      <c r="U1574">
        <v>0</v>
      </c>
      <c r="V1574">
        <v>9.3469453739625452E-2</v>
      </c>
      <c r="W1574">
        <v>4.6982335558417097E-2</v>
      </c>
      <c r="X1574">
        <v>7.605850015136131E-3</v>
      </c>
      <c r="Y1574">
        <v>1.9643057668211469E-3</v>
      </c>
    </row>
    <row r="1575" spans="1:25" x14ac:dyDescent="0.25">
      <c r="A1575" s="1096"/>
      <c r="B1575" s="1455">
        <v>1325</v>
      </c>
      <c r="C1575" s="1100">
        <v>1.0349103676903555</v>
      </c>
      <c r="D1575" s="1100">
        <v>0.98425864389381401</v>
      </c>
      <c r="E1575" s="1100">
        <v>0.9966310239626881</v>
      </c>
      <c r="F1575" s="1100">
        <v>1.0086588611979621</v>
      </c>
      <c r="G1575" s="1100">
        <v>1.0068972098728513</v>
      </c>
      <c r="H1575" s="1100">
        <v>1.0002839506981693</v>
      </c>
      <c r="I1575" s="1100">
        <v>1.0292788407628086</v>
      </c>
      <c r="K1575">
        <v>1.1514001614328881</v>
      </c>
      <c r="L1575">
        <v>0</v>
      </c>
      <c r="M1575">
        <v>7.8436605308171187E-4</v>
      </c>
      <c r="N1575">
        <v>7.1447733308614939E-2</v>
      </c>
      <c r="O1575">
        <v>1.0062749294707862E-2</v>
      </c>
      <c r="P1575">
        <v>1.3594230666652286E-2</v>
      </c>
      <c r="Q1575">
        <v>4.3547805654377335E-4</v>
      </c>
      <c r="R1575">
        <v>7.8262936802847127E-4</v>
      </c>
      <c r="S1575">
        <v>7.3069531795866838E-2</v>
      </c>
      <c r="T1575">
        <v>0.83502466068149128</v>
      </c>
      <c r="U1575">
        <v>0</v>
      </c>
      <c r="V1575">
        <v>9.1554114300874095E-2</v>
      </c>
      <c r="W1575">
        <v>4.7030505556144589E-2</v>
      </c>
      <c r="X1575">
        <v>7.052835310973238E-3</v>
      </c>
      <c r="Y1575">
        <v>2.1300591460716657E-3</v>
      </c>
    </row>
    <row r="1576" spans="1:25" x14ac:dyDescent="0.25">
      <c r="A1576" s="1096"/>
      <c r="B1576" s="1455">
        <v>1326</v>
      </c>
      <c r="C1576" s="1100">
        <v>0.97214537654755928</v>
      </c>
      <c r="D1576" s="1100">
        <v>1.0458734625556576</v>
      </c>
      <c r="E1576" s="1100">
        <v>1.0303114010046435</v>
      </c>
      <c r="F1576" s="1100">
        <v>1.01162793019523</v>
      </c>
      <c r="G1576" s="1100">
        <v>0.98207392415056349</v>
      </c>
      <c r="H1576" s="1100">
        <v>0.99785684535637498</v>
      </c>
      <c r="I1576" s="1100">
        <v>0.99804776996810995</v>
      </c>
      <c r="K1576">
        <v>1.1608006708279897</v>
      </c>
      <c r="L1576">
        <v>0</v>
      </c>
      <c r="M1576">
        <v>7.580247467918953E-4</v>
      </c>
      <c r="N1576">
        <v>7.6436179801491019E-2</v>
      </c>
      <c r="O1576">
        <v>1.0466550140526597E-2</v>
      </c>
      <c r="P1576">
        <v>1.3946008169195298E-2</v>
      </c>
      <c r="Q1576">
        <v>4.6843295396145293E-4</v>
      </c>
      <c r="R1576">
        <v>7.5634230239183435E-4</v>
      </c>
      <c r="S1576">
        <v>7.3054120463374006E-2</v>
      </c>
      <c r="T1576">
        <v>0.83524176787355919</v>
      </c>
      <c r="U1576">
        <v>0</v>
      </c>
      <c r="V1576">
        <v>9.2044952839464983E-2</v>
      </c>
      <c r="W1576">
        <v>4.9327384170587421E-2</v>
      </c>
      <c r="X1576">
        <v>7.7584424412919448E-3</v>
      </c>
      <c r="Y1576">
        <v>2.0585144189375982E-3</v>
      </c>
    </row>
    <row r="1577" spans="1:25" x14ac:dyDescent="0.25">
      <c r="A1577" s="1096"/>
      <c r="B1577" s="1455">
        <v>1327</v>
      </c>
      <c r="C1577" s="1100">
        <v>0.97381305138126528</v>
      </c>
      <c r="D1577" s="1100">
        <v>0.96700139258205686</v>
      </c>
      <c r="E1577" s="1100">
        <v>1.0140513931049449</v>
      </c>
      <c r="F1577" s="1100">
        <v>1.0323859631874968</v>
      </c>
      <c r="G1577" s="1100">
        <v>1.0366930470419951</v>
      </c>
      <c r="H1577" s="1100">
        <v>1.0008791698384716</v>
      </c>
      <c r="I1577" s="1100">
        <v>0.9705593493392517</v>
      </c>
      <c r="K1577">
        <v>1.1853808274415401</v>
      </c>
      <c r="L1577">
        <v>0</v>
      </c>
      <c r="M1577">
        <v>8.101602025781399E-4</v>
      </c>
      <c r="N1577">
        <v>7.7783843907215058E-2</v>
      </c>
      <c r="O1577">
        <v>1.0775962632042391E-2</v>
      </c>
      <c r="P1577">
        <v>1.4075880492464724E-2</v>
      </c>
      <c r="Q1577">
        <v>4.7455665276723588E-4</v>
      </c>
      <c r="R1577">
        <v>8.0836747279920316E-4</v>
      </c>
      <c r="S1577">
        <v>7.393785069910136E-2</v>
      </c>
      <c r="T1577">
        <v>0.85347974293687534</v>
      </c>
      <c r="U1577">
        <v>0</v>
      </c>
      <c r="V1577">
        <v>9.4332853684596485E-2</v>
      </c>
      <c r="W1577">
        <v>5.0676066747758403E-2</v>
      </c>
      <c r="X1577">
        <v>7.6457526358036853E-3</v>
      </c>
      <c r="Y1577">
        <v>2.2001097826936404E-3</v>
      </c>
    </row>
    <row r="1578" spans="1:25" x14ac:dyDescent="0.25">
      <c r="A1578" s="1096"/>
      <c r="B1578" s="1455">
        <v>1328</v>
      </c>
      <c r="C1578" s="1100">
        <v>0.96827156191897501</v>
      </c>
      <c r="D1578" s="1100">
        <v>1.0177654680403523</v>
      </c>
      <c r="E1578" s="1100">
        <v>0.9993461484809314</v>
      </c>
      <c r="F1578" s="1100">
        <v>0.99587783674604979</v>
      </c>
      <c r="G1578" s="1100">
        <v>0.97063455509491359</v>
      </c>
      <c r="H1578" s="1100">
        <v>0.97465320453867421</v>
      </c>
      <c r="I1578" s="1100">
        <v>1.015051594560769</v>
      </c>
      <c r="K1578">
        <v>1.1464360694289328</v>
      </c>
      <c r="L1578">
        <v>0</v>
      </c>
      <c r="M1578">
        <v>8.014761309497869E-4</v>
      </c>
      <c r="N1578">
        <v>7.3603412243261918E-2</v>
      </c>
      <c r="O1578">
        <v>1.0613145206561616E-2</v>
      </c>
      <c r="P1578">
        <v>1.3497833063468688E-2</v>
      </c>
      <c r="Q1578">
        <v>4.6055374807000264E-4</v>
      </c>
      <c r="R1578">
        <v>7.9965489566469965E-4</v>
      </c>
      <c r="S1578">
        <v>7.4624592874523804E-2</v>
      </c>
      <c r="T1578">
        <v>0.82426461889323621</v>
      </c>
      <c r="U1578">
        <v>0</v>
      </c>
      <c r="V1578">
        <v>9.1652171461251888E-2</v>
      </c>
      <c r="W1578">
        <v>4.8371237265158372E-2</v>
      </c>
      <c r="X1578">
        <v>7.1739288888518693E-3</v>
      </c>
      <c r="Y1578">
        <v>2.1763970198338026E-3</v>
      </c>
    </row>
    <row r="1579" spans="1:25" x14ac:dyDescent="0.25">
      <c r="A1579" s="1096"/>
      <c r="B1579" s="1455">
        <v>1329</v>
      </c>
      <c r="C1579" s="1100">
        <v>0.98364722456611864</v>
      </c>
      <c r="D1579" s="1100">
        <v>1.0395517997551569</v>
      </c>
      <c r="E1579" s="1100">
        <v>0.99629507516685012</v>
      </c>
      <c r="F1579" s="1100">
        <v>0.99502171991022026</v>
      </c>
      <c r="G1579" s="1100">
        <v>1.0027653238634728</v>
      </c>
      <c r="H1579" s="1100">
        <v>1.0096162015983248</v>
      </c>
      <c r="I1579" s="1100">
        <v>1.0048042592210822</v>
      </c>
      <c r="K1579">
        <v>1.1463548628334068</v>
      </c>
      <c r="L1579">
        <v>0</v>
      </c>
      <c r="M1579">
        <v>8.1549796964920835E-4</v>
      </c>
      <c r="N1579">
        <v>7.420967778220304E-2</v>
      </c>
      <c r="O1579">
        <v>1.0358113095446006E-2</v>
      </c>
      <c r="P1579">
        <v>1.3456126119032314E-2</v>
      </c>
      <c r="Q1579">
        <v>4.481086507394542E-4</v>
      </c>
      <c r="R1579">
        <v>8.1370904457722258E-4</v>
      </c>
      <c r="S1579">
        <v>7.3355897383208898E-2</v>
      </c>
      <c r="T1579">
        <v>0.82375723540768941</v>
      </c>
      <c r="U1579">
        <v>0</v>
      </c>
      <c r="V1579">
        <v>9.2625336580535553E-2</v>
      </c>
      <c r="W1579">
        <v>4.8858338695734194E-2</v>
      </c>
      <c r="X1579">
        <v>7.0731702636641419E-3</v>
      </c>
      <c r="Y1579">
        <v>2.2146477802247452E-3</v>
      </c>
    </row>
    <row r="1580" spans="1:25" x14ac:dyDescent="0.25">
      <c r="A1580" s="1096"/>
      <c r="B1580" s="1455">
        <v>1330</v>
      </c>
      <c r="C1580" s="1100">
        <v>0.98382643041691009</v>
      </c>
      <c r="D1580" s="1100">
        <v>1.0020045187651703</v>
      </c>
      <c r="E1580" s="1100">
        <v>1.0143194146454753</v>
      </c>
      <c r="F1580" s="1100">
        <v>0.98391354621976534</v>
      </c>
      <c r="G1580" s="1100">
        <v>1.0402576819054015</v>
      </c>
      <c r="H1580" s="1100">
        <v>0.97087026253084685</v>
      </c>
      <c r="I1580" s="1100">
        <v>0.98880512764682449</v>
      </c>
      <c r="K1580">
        <v>1.1351324044941378</v>
      </c>
      <c r="L1580">
        <v>0</v>
      </c>
      <c r="M1580">
        <v>7.6645833254183622E-4</v>
      </c>
      <c r="N1580">
        <v>7.3642509406426124E-2</v>
      </c>
      <c r="O1580">
        <v>1.051573993982885E-2</v>
      </c>
      <c r="P1580">
        <v>1.3497964280599448E-2</v>
      </c>
      <c r="Q1580">
        <v>4.632206551890775E-4</v>
      </c>
      <c r="R1580">
        <v>7.647098837033088E-4</v>
      </c>
      <c r="S1580">
        <v>7.1985524893199634E-2</v>
      </c>
      <c r="T1580">
        <v>0.81338996392472784</v>
      </c>
      <c r="U1580">
        <v>0</v>
      </c>
      <c r="V1580">
        <v>9.4226177305190589E-2</v>
      </c>
      <c r="W1580">
        <v>4.7970435870465622E-2</v>
      </c>
      <c r="X1580">
        <v>7.3613284504543564E-3</v>
      </c>
      <c r="Y1580">
        <v>2.0812882168949939E-3</v>
      </c>
    </row>
    <row r="1581" spans="1:25" x14ac:dyDescent="0.25">
      <c r="A1581" s="1096"/>
      <c r="B1581" s="1455">
        <v>1331</v>
      </c>
      <c r="C1581" s="1100">
        <v>0.9993376783855441</v>
      </c>
      <c r="D1581" s="1100">
        <v>1.0188319085043138</v>
      </c>
      <c r="E1581" s="1100">
        <v>0.97106757408858568</v>
      </c>
      <c r="F1581" s="1100">
        <v>1.0276739096647141</v>
      </c>
      <c r="G1581" s="1100">
        <v>0.98874565442399487</v>
      </c>
      <c r="H1581" s="1100">
        <v>0.9857448895505615</v>
      </c>
      <c r="I1581" s="1100">
        <v>0.96998972983641463</v>
      </c>
      <c r="K1581">
        <v>1.1638948962267093</v>
      </c>
      <c r="L1581">
        <v>0</v>
      </c>
      <c r="M1581">
        <v>8.3238418002947075E-4</v>
      </c>
      <c r="N1581">
        <v>7.0177467552058184E-2</v>
      </c>
      <c r="O1581">
        <v>1.0269739613466992E-2</v>
      </c>
      <c r="P1581">
        <v>1.3519495492438343E-2</v>
      </c>
      <c r="Q1581">
        <v>4.3306085689305253E-4</v>
      </c>
      <c r="R1581">
        <v>8.3051399377254891E-4</v>
      </c>
      <c r="S1581">
        <v>6.9460789981762347E-2</v>
      </c>
      <c r="T1581">
        <v>0.85251937999637639</v>
      </c>
      <c r="U1581">
        <v>0</v>
      </c>
      <c r="V1581">
        <v>9.1626726818268389E-2</v>
      </c>
      <c r="W1581">
        <v>4.6910741560183628E-2</v>
      </c>
      <c r="X1581">
        <v>6.7189792293345652E-3</v>
      </c>
      <c r="Y1581">
        <v>2.2603853121844109E-3</v>
      </c>
    </row>
    <row r="1582" spans="1:25" x14ac:dyDescent="0.25">
      <c r="A1582" s="1096"/>
      <c r="B1582" s="1455">
        <v>1332</v>
      </c>
      <c r="C1582" s="1100">
        <v>1.0004551143395333</v>
      </c>
      <c r="D1582" s="1100">
        <v>0.99348267134961221</v>
      </c>
      <c r="E1582" s="1100">
        <v>1.0131475609756713</v>
      </c>
      <c r="F1582" s="1100">
        <v>1.0117074027159547</v>
      </c>
      <c r="G1582" s="1100">
        <v>0.99540103493965848</v>
      </c>
      <c r="H1582" s="1100">
        <v>0.9958410232696947</v>
      </c>
      <c r="I1582" s="1100">
        <v>0.99008072927096979</v>
      </c>
      <c r="K1582">
        <v>1.1576658024659556</v>
      </c>
      <c r="L1582">
        <v>0</v>
      </c>
      <c r="M1582">
        <v>7.7764234392930945E-4</v>
      </c>
      <c r="N1582">
        <v>7.4457558494621601E-2</v>
      </c>
      <c r="O1582">
        <v>1.0375961354012628E-2</v>
      </c>
      <c r="P1582">
        <v>1.377440863290169E-2</v>
      </c>
      <c r="Q1582">
        <v>4.565293736699072E-4</v>
      </c>
      <c r="R1582">
        <v>7.7591286424195179E-4</v>
      </c>
      <c r="S1582">
        <v>7.2199862204566159E-2</v>
      </c>
      <c r="T1582">
        <v>0.83644478707402659</v>
      </c>
      <c r="U1582">
        <v>0</v>
      </c>
      <c r="V1582">
        <v>9.1889843155459519E-2</v>
      </c>
      <c r="W1582">
        <v>4.8534783816389523E-2</v>
      </c>
      <c r="X1582">
        <v>7.4220188031365051E-3</v>
      </c>
      <c r="Y1582">
        <v>2.111779036859638E-3</v>
      </c>
    </row>
    <row r="1583" spans="1:25" x14ac:dyDescent="0.25">
      <c r="A1583" s="1096"/>
      <c r="B1583" s="1455">
        <v>1333</v>
      </c>
      <c r="C1583" s="1100">
        <v>1.0324453105907496</v>
      </c>
      <c r="D1583" s="1100">
        <v>1.0206807633576167</v>
      </c>
      <c r="E1583" s="1100">
        <v>0.96386460887659575</v>
      </c>
      <c r="F1583" s="1100">
        <v>1.0221412933969181</v>
      </c>
      <c r="G1583" s="1100">
        <v>0.96344802470639712</v>
      </c>
      <c r="H1583" s="1100">
        <v>0.96652113748107937</v>
      </c>
      <c r="I1583" s="1100">
        <v>0.99442710183034122</v>
      </c>
      <c r="K1583">
        <v>1.1491117579057042</v>
      </c>
      <c r="L1583">
        <v>0</v>
      </c>
      <c r="M1583">
        <v>8.0122833582792978E-4</v>
      </c>
      <c r="N1583">
        <v>6.6090204193407984E-2</v>
      </c>
      <c r="O1583">
        <v>9.9309586851358562E-3</v>
      </c>
      <c r="P1583">
        <v>1.3347603430330661E-2</v>
      </c>
      <c r="Q1583">
        <v>4.1569890219412349E-4</v>
      </c>
      <c r="R1583">
        <v>7.9939234493991724E-4</v>
      </c>
      <c r="S1583">
        <v>6.8108374008415226E-2</v>
      </c>
      <c r="T1583">
        <v>0.84842490789599601</v>
      </c>
      <c r="U1583">
        <v>0</v>
      </c>
      <c r="V1583">
        <v>8.9748842348973443E-2</v>
      </c>
      <c r="W1583">
        <v>4.4373069380631139E-2</v>
      </c>
      <c r="X1583">
        <v>6.4982526081968665E-3</v>
      </c>
      <c r="Y1583">
        <v>2.1756824433107674E-3</v>
      </c>
    </row>
    <row r="1584" spans="1:25" x14ac:dyDescent="0.25">
      <c r="A1584" s="1096"/>
      <c r="B1584" s="1455">
        <v>1334</v>
      </c>
      <c r="C1584" s="1100">
        <v>1.0237108732698914</v>
      </c>
      <c r="D1584" s="1100">
        <v>1.0185685552550314</v>
      </c>
      <c r="E1584" s="1100">
        <v>1.0341333714085208</v>
      </c>
      <c r="F1584" s="1100">
        <v>1.0040535559543964</v>
      </c>
      <c r="G1584" s="1100">
        <v>1.0100096213304322</v>
      </c>
      <c r="H1584" s="1100">
        <v>0.97082863013553999</v>
      </c>
      <c r="I1584" s="1100">
        <v>0.96538058832708185</v>
      </c>
      <c r="K1584">
        <v>1.1392578521668419</v>
      </c>
      <c r="L1584">
        <v>0</v>
      </c>
      <c r="M1584">
        <v>7.0217804150266071E-4</v>
      </c>
      <c r="N1584">
        <v>7.162075470444805E-2</v>
      </c>
      <c r="O1584">
        <v>1.0046289826765456E-2</v>
      </c>
      <c r="P1584">
        <v>1.3807772278776618E-2</v>
      </c>
      <c r="Q1584">
        <v>4.5132426140696283E-4</v>
      </c>
      <c r="R1584">
        <v>7.0057616051599845E-4</v>
      </c>
      <c r="S1584">
        <v>6.6994092184584839E-2</v>
      </c>
      <c r="T1584">
        <v>0.82873800131012021</v>
      </c>
      <c r="U1584">
        <v>0</v>
      </c>
      <c r="V1584">
        <v>9.195462406422461E-2</v>
      </c>
      <c r="W1584">
        <v>4.6117544378741722E-2</v>
      </c>
      <c r="X1584">
        <v>7.6223136747051454E-3</v>
      </c>
      <c r="Y1584">
        <v>1.9067373640553015E-3</v>
      </c>
    </row>
    <row r="1585" spans="1:25" x14ac:dyDescent="0.25">
      <c r="A1585" s="1096"/>
      <c r="B1585" s="1455">
        <v>1335</v>
      </c>
      <c r="C1585" s="1100">
        <v>0.97377012460518619</v>
      </c>
      <c r="D1585" s="1100">
        <v>1.0062389140850914</v>
      </c>
      <c r="E1585" s="1100">
        <v>1.0054295562896365</v>
      </c>
      <c r="F1585" s="1100">
        <v>1.0060617594193884</v>
      </c>
      <c r="G1585" s="1100">
        <v>1.0229277207891181</v>
      </c>
      <c r="H1585" s="1100">
        <v>1.023085551594539</v>
      </c>
      <c r="I1585" s="1100">
        <v>1.0267892275100983</v>
      </c>
      <c r="K1585">
        <v>1.1665047385341394</v>
      </c>
      <c r="L1585">
        <v>0</v>
      </c>
      <c r="M1585">
        <v>8.2983066084524391E-4</v>
      </c>
      <c r="N1585">
        <v>7.7629051043139968E-2</v>
      </c>
      <c r="O1585">
        <v>1.0603446682165412E-2</v>
      </c>
      <c r="P1585">
        <v>1.3738174204542429E-2</v>
      </c>
      <c r="Q1585">
        <v>4.6295144205004936E-4</v>
      </c>
      <c r="R1585">
        <v>8.2803426060824154E-4</v>
      </c>
      <c r="S1585">
        <v>7.7582660035752288E-2</v>
      </c>
      <c r="T1585">
        <v>0.8322888932265492</v>
      </c>
      <c r="U1585">
        <v>0</v>
      </c>
      <c r="V1585">
        <v>9.3744266850391347E-2</v>
      </c>
      <c r="W1585">
        <v>5.0833056660626201E-2</v>
      </c>
      <c r="X1585">
        <v>7.3703984932041696E-3</v>
      </c>
      <c r="Y1585">
        <v>2.2536362959549834E-3</v>
      </c>
    </row>
    <row r="1586" spans="1:25" x14ac:dyDescent="0.25">
      <c r="A1586" s="1096"/>
      <c r="B1586" s="1455">
        <v>1336</v>
      </c>
      <c r="C1586" s="1100">
        <v>0.9727806732314318</v>
      </c>
      <c r="D1586" s="1100">
        <v>0.99031412603747837</v>
      </c>
      <c r="E1586" s="1100">
        <v>0.99534330795924564</v>
      </c>
      <c r="F1586" s="1100">
        <v>0.99726310804136864</v>
      </c>
      <c r="G1586" s="1100">
        <v>1.0247351199997798</v>
      </c>
      <c r="H1586" s="1100">
        <v>0.9972368167245691</v>
      </c>
      <c r="I1586" s="1100">
        <v>0.97599240162854228</v>
      </c>
      <c r="K1586">
        <v>1.1521397417403407</v>
      </c>
      <c r="L1586">
        <v>0</v>
      </c>
      <c r="M1586">
        <v>8.3209982216976715E-4</v>
      </c>
      <c r="N1586">
        <v>7.5500885237006488E-2</v>
      </c>
      <c r="O1586">
        <v>1.0678771276636429E-2</v>
      </c>
      <c r="P1586">
        <v>1.3489154371130123E-2</v>
      </c>
      <c r="Q1586">
        <v>4.6153805232691309E-4</v>
      </c>
      <c r="R1586">
        <v>8.3025181903597419E-4</v>
      </c>
      <c r="S1586">
        <v>7.3353641299738565E-2</v>
      </c>
      <c r="T1586">
        <v>0.82567580035025678</v>
      </c>
      <c r="U1586">
        <v>0</v>
      </c>
      <c r="V1586">
        <v>9.3845960613481091E-2</v>
      </c>
      <c r="W1586">
        <v>4.9736666838337162E-2</v>
      </c>
      <c r="X1586">
        <v>7.1394999455835955E-3</v>
      </c>
      <c r="Y1586">
        <v>2.2596717589773332E-3</v>
      </c>
    </row>
    <row r="1587" spans="1:25" x14ac:dyDescent="0.25">
      <c r="A1587" s="1096"/>
      <c r="B1587" s="1455">
        <v>1337</v>
      </c>
      <c r="C1587" s="1100">
        <v>1.0311643975108982</v>
      </c>
      <c r="D1587" s="1100">
        <v>1.027643967620985</v>
      </c>
      <c r="E1587" s="1100">
        <v>1.013614753192372</v>
      </c>
      <c r="F1587" s="1100">
        <v>1.0071452262846585</v>
      </c>
      <c r="G1587" s="1100">
        <v>1.0223258905821566</v>
      </c>
      <c r="H1587" s="1100">
        <v>1.0047532311706808</v>
      </c>
      <c r="I1587" s="1100">
        <v>0.99751333376945883</v>
      </c>
      <c r="K1587">
        <v>1.1468733298631981</v>
      </c>
      <c r="L1587">
        <v>0</v>
      </c>
      <c r="M1587">
        <v>7.5028161465581311E-4</v>
      </c>
      <c r="N1587">
        <v>7.1940620795552704E-2</v>
      </c>
      <c r="O1587">
        <v>9.9318812709495163E-3</v>
      </c>
      <c r="P1587">
        <v>1.3698146575540245E-2</v>
      </c>
      <c r="Q1587">
        <v>4.371941551440336E-4</v>
      </c>
      <c r="R1587">
        <v>7.4862778615959486E-4</v>
      </c>
      <c r="S1587">
        <v>6.9708869937900542E-2</v>
      </c>
      <c r="T1587">
        <v>0.83264198960084523</v>
      </c>
      <c r="U1587">
        <v>0</v>
      </c>
      <c r="V1587">
        <v>9.2302919005949502E-2</v>
      </c>
      <c r="W1587">
        <v>4.6881247842908161E-2</v>
      </c>
      <c r="X1587">
        <v>7.2945964580609169E-3</v>
      </c>
      <c r="Y1587">
        <v>2.0375180488430345E-3</v>
      </c>
    </row>
    <row r="1588" spans="1:25" x14ac:dyDescent="0.25">
      <c r="A1588" s="1096"/>
      <c r="B1588" s="1455">
        <v>1338</v>
      </c>
      <c r="C1588" s="1100">
        <v>0.97785114991687372</v>
      </c>
      <c r="D1588" s="1100">
        <v>0.98923831775375881</v>
      </c>
      <c r="E1588" s="1100">
        <v>0.97577211106697748</v>
      </c>
      <c r="F1588" s="1100">
        <v>1.0052629047441846</v>
      </c>
      <c r="G1588" s="1100">
        <v>0.99256222094785995</v>
      </c>
      <c r="H1588" s="1100">
        <v>0.96022694384897811</v>
      </c>
      <c r="I1588" s="1100">
        <v>1.0175761848113107</v>
      </c>
      <c r="K1588">
        <v>1.152334542009352</v>
      </c>
      <c r="L1588">
        <v>0</v>
      </c>
      <c r="M1588">
        <v>8.3037254118886955E-4</v>
      </c>
      <c r="N1588">
        <v>7.1007749507511167E-2</v>
      </c>
      <c r="O1588">
        <v>1.0621454134834533E-2</v>
      </c>
      <c r="P1588">
        <v>1.3392571820343391E-2</v>
      </c>
      <c r="Q1588">
        <v>4.5004688437680525E-4</v>
      </c>
      <c r="R1588">
        <v>8.2845729472445057E-4</v>
      </c>
      <c r="S1588">
        <v>7.4527911497673238E-2</v>
      </c>
      <c r="T1588">
        <v>0.83361088931466476</v>
      </c>
      <c r="U1588">
        <v>0</v>
      </c>
      <c r="V1588">
        <v>9.2335305011072302E-2</v>
      </c>
      <c r="W1588">
        <v>4.7330402074020117E-2</v>
      </c>
      <c r="X1588">
        <v>6.8053393559539292E-3</v>
      </c>
      <c r="Y1588">
        <v>2.2547876553661458E-3</v>
      </c>
    </row>
    <row r="1589" spans="1:25" x14ac:dyDescent="0.25">
      <c r="A1589" s="1096"/>
      <c r="B1589" s="1455">
        <v>1339</v>
      </c>
      <c r="C1589" s="1100">
        <v>1.0089929218207054</v>
      </c>
      <c r="D1589" s="1100">
        <v>1.0051263670454338</v>
      </c>
      <c r="E1589" s="1100">
        <v>1.0357090682177348</v>
      </c>
      <c r="F1589" s="1100">
        <v>1.0231900704027659</v>
      </c>
      <c r="G1589" s="1100">
        <v>1.0260631132206381</v>
      </c>
      <c r="H1589" s="1100">
        <v>1.0020309470046656</v>
      </c>
      <c r="I1589" s="1100">
        <v>0.97046988849465643</v>
      </c>
      <c r="K1589">
        <v>1.1661814096761629</v>
      </c>
      <c r="L1589">
        <v>0</v>
      </c>
      <c r="M1589">
        <v>7.3681054881942303E-4</v>
      </c>
      <c r="N1589">
        <v>7.551627905977841E-2</v>
      </c>
      <c r="O1589">
        <v>1.0247654390010016E-2</v>
      </c>
      <c r="P1589">
        <v>1.4100041489337922E-2</v>
      </c>
      <c r="Q1589">
        <v>4.6108628383021387E-4</v>
      </c>
      <c r="R1589">
        <v>7.3518200188921385E-4</v>
      </c>
      <c r="S1589">
        <v>7.0019573301432214E-2</v>
      </c>
      <c r="T1589">
        <v>0.84442821865812345</v>
      </c>
      <c r="U1589">
        <v>0</v>
      </c>
      <c r="V1589">
        <v>9.2994186862935674E-2</v>
      </c>
      <c r="W1589">
        <v>4.8581639281443115E-2</v>
      </c>
      <c r="X1589">
        <v>7.8334358397404071E-3</v>
      </c>
      <c r="Y1589">
        <v>2.0009230564606512E-3</v>
      </c>
    </row>
    <row r="1590" spans="1:25" x14ac:dyDescent="0.25">
      <c r="A1590" s="1096"/>
      <c r="B1590" s="1455">
        <v>1340</v>
      </c>
      <c r="C1590" s="1100">
        <v>1.0246388743269497</v>
      </c>
      <c r="D1590" s="1100">
        <v>0.99552918174785299</v>
      </c>
      <c r="E1590" s="1100">
        <v>1.0268135109552505</v>
      </c>
      <c r="F1590" s="1100">
        <v>1.0353420673210936</v>
      </c>
      <c r="G1590" s="1100">
        <v>1.0036690865835938</v>
      </c>
      <c r="H1590" s="1100">
        <v>0.96102338188014147</v>
      </c>
      <c r="I1590" s="1100">
        <v>0.98715513030908153</v>
      </c>
      <c r="K1590">
        <v>1.1667625405190645</v>
      </c>
      <c r="L1590">
        <v>0</v>
      </c>
      <c r="M1590">
        <v>7.1161380716524484E-4</v>
      </c>
      <c r="N1590">
        <v>7.0997484819397327E-2</v>
      </c>
      <c r="O1590">
        <v>1.012711630587337E-2</v>
      </c>
      <c r="P1590">
        <v>1.4122322945104694E-2</v>
      </c>
      <c r="Q1590">
        <v>4.5167551979544558E-4</v>
      </c>
      <c r="R1590">
        <v>7.0997383684050187E-4</v>
      </c>
      <c r="S1590">
        <v>6.8860998037487062E-2</v>
      </c>
      <c r="T1590">
        <v>0.85505754708446047</v>
      </c>
      <c r="U1590">
        <v>0</v>
      </c>
      <c r="V1590">
        <v>9.1660563487200322E-2</v>
      </c>
      <c r="W1590">
        <v>4.5910802091830363E-2</v>
      </c>
      <c r="X1590">
        <v>7.6433554571722403E-3</v>
      </c>
      <c r="Y1590">
        <v>1.9323147410674319E-3</v>
      </c>
    </row>
    <row r="1591" spans="1:25" x14ac:dyDescent="0.25">
      <c r="A1591" s="1096"/>
      <c r="B1591" s="1455">
        <v>1341</v>
      </c>
      <c r="C1591" s="1100">
        <v>0.99620419133901383</v>
      </c>
      <c r="D1591" s="1100">
        <v>1.009630770995162</v>
      </c>
      <c r="E1591" s="1100">
        <v>0.99587388004910704</v>
      </c>
      <c r="F1591" s="1100">
        <v>1.0209283924202426</v>
      </c>
      <c r="G1591" s="1100">
        <v>0.99700780085873109</v>
      </c>
      <c r="H1591" s="1100">
        <v>0.98077257477508406</v>
      </c>
      <c r="I1591" s="1100">
        <v>0.99626645499198441</v>
      </c>
      <c r="K1591">
        <v>1.1622112436865417</v>
      </c>
      <c r="L1591">
        <v>0</v>
      </c>
      <c r="M1591">
        <v>7.9209727927570148E-4</v>
      </c>
      <c r="N1591">
        <v>7.1983887163892174E-2</v>
      </c>
      <c r="O1591">
        <v>1.0347591972320212E-2</v>
      </c>
      <c r="P1591">
        <v>1.3713904531239366E-2</v>
      </c>
      <c r="Q1591">
        <v>4.4746359291390661E-4</v>
      </c>
      <c r="R1591">
        <v>7.9030858636287913E-4</v>
      </c>
      <c r="S1591">
        <v>7.1728457644089333E-2</v>
      </c>
      <c r="T1591">
        <v>0.84523333963527736</v>
      </c>
      <c r="U1591">
        <v>0</v>
      </c>
      <c r="V1591">
        <v>9.2061548922615727E-2</v>
      </c>
      <c r="W1591">
        <v>4.7404819899783755E-2</v>
      </c>
      <c r="X1591">
        <v>7.1410595703992E-3</v>
      </c>
      <c r="Y1591">
        <v>2.1509594469242802E-3</v>
      </c>
    </row>
    <row r="1592" spans="1:25" x14ac:dyDescent="0.25">
      <c r="A1592" s="1096"/>
      <c r="B1592" s="1455">
        <v>1342</v>
      </c>
      <c r="C1592" s="1100">
        <v>1.0207043872833383</v>
      </c>
      <c r="D1592" s="1100">
        <v>1.0313186536261161</v>
      </c>
      <c r="E1592" s="1100">
        <v>0.9757581918442112</v>
      </c>
      <c r="F1592" s="1100">
        <v>0.95825846208740895</v>
      </c>
      <c r="G1592" s="1100">
        <v>0.97537443910461097</v>
      </c>
      <c r="H1592" s="1100">
        <v>0.99196946245968842</v>
      </c>
      <c r="I1592" s="1100">
        <v>0.98760935217451495</v>
      </c>
      <c r="K1592">
        <v>1.1012860478432203</v>
      </c>
      <c r="L1592">
        <v>0</v>
      </c>
      <c r="M1592">
        <v>8.0825030601065469E-4</v>
      </c>
      <c r="N1592">
        <v>6.9118209217953988E-2</v>
      </c>
      <c r="O1592">
        <v>1.0007365912024417E-2</v>
      </c>
      <c r="P1592">
        <v>1.2773368984013902E-2</v>
      </c>
      <c r="Q1592">
        <v>4.2402103565663212E-4</v>
      </c>
      <c r="R1592">
        <v>8.0644573842187414E-4</v>
      </c>
      <c r="S1592">
        <v>6.9057349967514198E-2</v>
      </c>
      <c r="T1592">
        <v>0.79463350653829279</v>
      </c>
      <c r="U1592">
        <v>0</v>
      </c>
      <c r="V1592">
        <v>9.0536559904277017E-2</v>
      </c>
      <c r="W1592">
        <v>4.6071312546282682E-2</v>
      </c>
      <c r="X1592">
        <v>6.4712788495753671E-3</v>
      </c>
      <c r="Y1592">
        <v>2.1948794552181182E-3</v>
      </c>
    </row>
    <row r="1593" spans="1:25" x14ac:dyDescent="0.25">
      <c r="A1593" s="1096"/>
      <c r="B1593" s="1455">
        <v>1343</v>
      </c>
      <c r="C1593" s="1100">
        <v>0.9772650734663707</v>
      </c>
      <c r="D1593" s="1100">
        <v>0.97722009271432808</v>
      </c>
      <c r="E1593" s="1100">
        <v>0.98845404207034882</v>
      </c>
      <c r="F1593" s="1100">
        <v>0.97479916292078572</v>
      </c>
      <c r="G1593" s="1100">
        <v>1.0255751468790746</v>
      </c>
      <c r="H1593" s="1100">
        <v>0.98047452808139091</v>
      </c>
      <c r="I1593" s="1100">
        <v>1.0020109150381338</v>
      </c>
      <c r="K1593">
        <v>1.132184329002242</v>
      </c>
      <c r="L1593">
        <v>0</v>
      </c>
      <c r="M1593">
        <v>8.3047516239789202E-4</v>
      </c>
      <c r="N1593">
        <v>7.3797554032536627E-2</v>
      </c>
      <c r="O1593">
        <v>1.0684188698749203E-2</v>
      </c>
      <c r="P1593">
        <v>1.3192101237270321E-2</v>
      </c>
      <c r="Q1593">
        <v>4.5857120342218416E-4</v>
      </c>
      <c r="R1593">
        <v>8.2859923549990079E-4</v>
      </c>
      <c r="S1593">
        <v>7.4764203373137078E-2</v>
      </c>
      <c r="T1593">
        <v>0.80752333111155494</v>
      </c>
      <c r="U1593">
        <v>0</v>
      </c>
      <c r="V1593">
        <v>9.376404838741427E-2</v>
      </c>
      <c r="W1593">
        <v>4.8815336393678077E-2</v>
      </c>
      <c r="X1593">
        <v>6.9316965200094957E-3</v>
      </c>
      <c r="Y1593">
        <v>2.2551739713661569E-3</v>
      </c>
    </row>
    <row r="1594" spans="1:25" x14ac:dyDescent="0.25">
      <c r="A1594" s="1096"/>
      <c r="B1594" s="1455">
        <v>1344</v>
      </c>
      <c r="C1594" s="1100">
        <v>0.96414694117049504</v>
      </c>
      <c r="D1594" s="1100">
        <v>1.0020041343984623</v>
      </c>
      <c r="E1594" s="1100">
        <v>0.9975323408555643</v>
      </c>
      <c r="F1594" s="1100">
        <v>1.0011373154290306</v>
      </c>
      <c r="G1594" s="1100">
        <v>0.9616357008570513</v>
      </c>
      <c r="H1594" s="1100">
        <v>1.0045152727952609</v>
      </c>
      <c r="I1594" s="1100">
        <v>1.0063155319961716</v>
      </c>
      <c r="K1594">
        <v>1.1573923441337417</v>
      </c>
      <c r="L1594">
        <v>0</v>
      </c>
      <c r="M1594">
        <v>8.3790704262096008E-4</v>
      </c>
      <c r="N1594">
        <v>7.653365158104912E-2</v>
      </c>
      <c r="O1594">
        <v>1.072468208510805E-2</v>
      </c>
      <c r="P1594">
        <v>1.3557602096057296E-2</v>
      </c>
      <c r="Q1594">
        <v>4.6454538617082862E-4</v>
      </c>
      <c r="R1594">
        <v>8.3605962588187703E-4</v>
      </c>
      <c r="S1594">
        <v>7.6162857694030597E-2</v>
      </c>
      <c r="T1594">
        <v>0.82873807651407805</v>
      </c>
      <c r="U1594">
        <v>0</v>
      </c>
      <c r="V1594">
        <v>9.137659096995121E-2</v>
      </c>
      <c r="W1594">
        <v>5.0351271419777521E-2</v>
      </c>
      <c r="X1594">
        <v>7.2094351095884123E-3</v>
      </c>
      <c r="Y1594">
        <v>2.2754786946688685E-3</v>
      </c>
    </row>
    <row r="1595" spans="1:25" x14ac:dyDescent="0.25">
      <c r="A1595" s="1096"/>
      <c r="B1595" s="1455">
        <v>1345</v>
      </c>
      <c r="C1595" s="1100">
        <v>1.0414783524645588</v>
      </c>
      <c r="D1595" s="1100">
        <v>1.047800423177637</v>
      </c>
      <c r="E1595" s="1100">
        <v>0.97783522960314606</v>
      </c>
      <c r="F1595" s="1100">
        <v>1.0123395871270202</v>
      </c>
      <c r="G1595" s="1100">
        <v>1.0062120838340194</v>
      </c>
      <c r="H1595" s="1100">
        <v>1.0010411577993021</v>
      </c>
      <c r="I1595" s="1100">
        <v>1.0314030017883236</v>
      </c>
      <c r="K1595">
        <v>1.1469570695246836</v>
      </c>
      <c r="L1595">
        <v>0</v>
      </c>
      <c r="M1595">
        <v>7.9091658567082294E-4</v>
      </c>
      <c r="N1595">
        <v>6.8063772612639906E-2</v>
      </c>
      <c r="O1595">
        <v>9.7463875597662078E-3</v>
      </c>
      <c r="P1595">
        <v>1.3423047108825753E-2</v>
      </c>
      <c r="Q1595">
        <v>4.1383743507651688E-4</v>
      </c>
      <c r="R1595">
        <v>7.8916672154829583E-4</v>
      </c>
      <c r="S1595">
        <v>7.0469631318624132E-2</v>
      </c>
      <c r="T1595">
        <v>0.83933936292948197</v>
      </c>
      <c r="U1595">
        <v>0</v>
      </c>
      <c r="V1595">
        <v>9.1371570320403217E-2</v>
      </c>
      <c r="W1595">
        <v>4.5311460770720381E-2</v>
      </c>
      <c r="X1595">
        <v>6.6718976659523319E-3</v>
      </c>
      <c r="Y1595">
        <v>2.1478516673146195E-3</v>
      </c>
    </row>
    <row r="1596" spans="1:25" x14ac:dyDescent="0.25">
      <c r="A1596" s="1096"/>
      <c r="B1596" s="1455">
        <v>1346</v>
      </c>
      <c r="C1596" s="1100">
        <v>1.0211283969542664</v>
      </c>
      <c r="D1596" s="1100">
        <v>0.98554476450218609</v>
      </c>
      <c r="E1596" s="1100">
        <v>1.0081409847875511</v>
      </c>
      <c r="F1596" s="1100">
        <v>0.97886616451321151</v>
      </c>
      <c r="G1596" s="1100">
        <v>0.99599499707474715</v>
      </c>
      <c r="H1596" s="1100">
        <v>0.97055080506330949</v>
      </c>
      <c r="I1596" s="1100">
        <v>1.0217553420073811</v>
      </c>
      <c r="K1596">
        <v>1.12386377436718</v>
      </c>
      <c r="L1596">
        <v>0</v>
      </c>
      <c r="M1596">
        <v>7.5272547744300428E-4</v>
      </c>
      <c r="N1596">
        <v>7.0986587436944609E-2</v>
      </c>
      <c r="O1596">
        <v>1.0196950775499118E-2</v>
      </c>
      <c r="P1596">
        <v>1.334984982596346E-2</v>
      </c>
      <c r="Q1596">
        <v>4.4641412924825745E-4</v>
      </c>
      <c r="R1596">
        <v>7.5100779087512964E-4</v>
      </c>
      <c r="S1596">
        <v>7.2261146417685926E-2</v>
      </c>
      <c r="T1596">
        <v>0.80961554807185443</v>
      </c>
      <c r="U1596">
        <v>0</v>
      </c>
      <c r="V1596">
        <v>9.1412849759667847E-2</v>
      </c>
      <c r="W1596">
        <v>4.6408988914459687E-2</v>
      </c>
      <c r="X1596">
        <v>7.143161085314079E-3</v>
      </c>
      <c r="Y1596">
        <v>2.0439956371103769E-3</v>
      </c>
    </row>
    <row r="1597" spans="1:25" x14ac:dyDescent="0.25">
      <c r="A1597" s="1096"/>
      <c r="B1597" s="1455">
        <v>1347</v>
      </c>
      <c r="C1597" s="1100">
        <v>0.99470187026150558</v>
      </c>
      <c r="D1597" s="1100">
        <v>0.97783796074620288</v>
      </c>
      <c r="E1597" s="1100">
        <v>1.0231416910332045</v>
      </c>
      <c r="F1597" s="1100">
        <v>0.97521235668826334</v>
      </c>
      <c r="G1597" s="1100">
        <v>0.99704387819549378</v>
      </c>
      <c r="H1597" s="1100">
        <v>1.0109203329205414</v>
      </c>
      <c r="I1597" s="1100">
        <v>0.99231870069753081</v>
      </c>
      <c r="K1597">
        <v>1.1331052271057198</v>
      </c>
      <c r="L1597">
        <v>0</v>
      </c>
      <c r="M1597">
        <v>7.8260116820296681E-4</v>
      </c>
      <c r="N1597">
        <v>7.7228862694509459E-2</v>
      </c>
      <c r="O1597">
        <v>1.050577148480023E-2</v>
      </c>
      <c r="P1597">
        <v>1.3476773383472253E-2</v>
      </c>
      <c r="Q1597">
        <v>4.6686114056158033E-4</v>
      </c>
      <c r="R1597">
        <v>7.8088662221636703E-4</v>
      </c>
      <c r="S1597">
        <v>7.4007416702255913E-2</v>
      </c>
      <c r="T1597">
        <v>0.80563241425660737</v>
      </c>
      <c r="U1597">
        <v>0</v>
      </c>
      <c r="V1597">
        <v>9.2105049015250698E-2</v>
      </c>
      <c r="W1597">
        <v>5.0047324986618812E-2</v>
      </c>
      <c r="X1597">
        <v>7.5111520211619837E-3</v>
      </c>
      <c r="Y1597">
        <v>2.1253159664671203E-3</v>
      </c>
    </row>
    <row r="1598" spans="1:25" x14ac:dyDescent="0.25">
      <c r="A1598" s="1096"/>
      <c r="B1598" s="1455">
        <v>1348</v>
      </c>
      <c r="C1598" s="1100">
        <v>1.0090702477659719</v>
      </c>
      <c r="D1598" s="1100">
        <v>0.96584770768093819</v>
      </c>
      <c r="E1598" s="1100">
        <v>1.0085417995539914</v>
      </c>
      <c r="F1598" s="1100">
        <v>1.0145056078570827</v>
      </c>
      <c r="G1598" s="1100">
        <v>1.035404037250055</v>
      </c>
      <c r="H1598" s="1100">
        <v>0.99014056865794364</v>
      </c>
      <c r="I1598" s="1100">
        <v>0.98482846924772827</v>
      </c>
      <c r="K1598">
        <v>1.1608066839125626</v>
      </c>
      <c r="L1598">
        <v>0</v>
      </c>
      <c r="M1598">
        <v>7.8274389151049067E-4</v>
      </c>
      <c r="N1598">
        <v>7.391023920659516E-2</v>
      </c>
      <c r="O1598">
        <v>1.0402599220949079E-2</v>
      </c>
      <c r="P1598">
        <v>1.3781463837883201E-2</v>
      </c>
      <c r="Q1598">
        <v>4.5559992508564416E-4</v>
      </c>
      <c r="R1598">
        <v>7.809930436495575E-4</v>
      </c>
      <c r="S1598">
        <v>7.2009085654886174E-2</v>
      </c>
      <c r="T1598">
        <v>0.83906595124341032</v>
      </c>
      <c r="U1598">
        <v>0</v>
      </c>
      <c r="V1598">
        <v>9.3387619745459352E-2</v>
      </c>
      <c r="W1598">
        <v>4.8308954190985895E-2</v>
      </c>
      <c r="X1598">
        <v>7.3613161246428973E-3</v>
      </c>
      <c r="Y1598">
        <v>2.1256056105264493E-3</v>
      </c>
    </row>
    <row r="1599" spans="1:25" x14ac:dyDescent="0.25">
      <c r="A1599" s="1096"/>
      <c r="B1599" s="1455">
        <v>1349</v>
      </c>
      <c r="C1599" s="1100">
        <v>1.0038751117601559</v>
      </c>
      <c r="D1599" s="1100">
        <v>1.002537091810606</v>
      </c>
      <c r="E1599" s="1100">
        <v>1.0220620472892485</v>
      </c>
      <c r="F1599" s="1100">
        <v>1.0003223019307756</v>
      </c>
      <c r="G1599" s="1100">
        <v>1.0155556332331646</v>
      </c>
      <c r="H1599" s="1100">
        <v>0.99139373706275613</v>
      </c>
      <c r="I1599" s="1100">
        <v>0.99988098955189997</v>
      </c>
      <c r="K1599">
        <v>1.1476880146387936</v>
      </c>
      <c r="L1599">
        <v>0</v>
      </c>
      <c r="M1599">
        <v>7.5461516035307959E-4</v>
      </c>
      <c r="N1599">
        <v>7.4221827260153098E-2</v>
      </c>
      <c r="O1599">
        <v>1.0306065675277148E-2</v>
      </c>
      <c r="P1599">
        <v>1.3736678290590639E-2</v>
      </c>
      <c r="Q1599">
        <v>4.5749590557148871E-4</v>
      </c>
      <c r="R1599">
        <v>7.5292936468744002E-4</v>
      </c>
      <c r="S1599">
        <v>7.2158607760553439E-2</v>
      </c>
      <c r="T1599">
        <v>0.82644669382730807</v>
      </c>
      <c r="U1599">
        <v>0</v>
      </c>
      <c r="V1599">
        <v>9.2668291615853091E-2</v>
      </c>
      <c r="W1599">
        <v>4.8128977302478441E-2</v>
      </c>
      <c r="X1599">
        <v>7.5158372690917298E-3</v>
      </c>
      <c r="Y1599">
        <v>2.0492255275808484E-3</v>
      </c>
    </row>
    <row r="1600" spans="1:25" x14ac:dyDescent="0.25">
      <c r="A1600" s="1096"/>
      <c r="B1600" s="1455">
        <v>1350</v>
      </c>
      <c r="C1600" s="1100">
        <v>1.0331092831220183</v>
      </c>
      <c r="D1600" s="1100">
        <v>0.96445125665843701</v>
      </c>
      <c r="E1600" s="1100">
        <v>1.0059443760706972</v>
      </c>
      <c r="F1600" s="1100">
        <v>0.98411163974805382</v>
      </c>
      <c r="G1600" s="1100">
        <v>0.97236327543334355</v>
      </c>
      <c r="H1600" s="1100">
        <v>1.038016897559177</v>
      </c>
      <c r="I1600" s="1100">
        <v>0.97790414384735491</v>
      </c>
      <c r="K1600">
        <v>1.1342906011854501</v>
      </c>
      <c r="L1600">
        <v>0</v>
      </c>
      <c r="M1600">
        <v>8.0629928226493095E-4</v>
      </c>
      <c r="N1600">
        <v>7.5547454801569255E-2</v>
      </c>
      <c r="O1600">
        <v>1.0165591300325164E-2</v>
      </c>
      <c r="P1600">
        <v>1.3364867466188722E-2</v>
      </c>
      <c r="Q1600">
        <v>4.440634872907927E-4</v>
      </c>
      <c r="R1600">
        <v>8.0457892982486816E-4</v>
      </c>
      <c r="S1600">
        <v>7.1758903865095994E-2</v>
      </c>
      <c r="T1600">
        <v>0.81409667784530326</v>
      </c>
      <c r="U1600">
        <v>0</v>
      </c>
      <c r="V1600">
        <v>9.0120794200768337E-2</v>
      </c>
      <c r="W1600">
        <v>4.9454918975800628E-2</v>
      </c>
      <c r="X1600">
        <v>7.1492509779376538E-3</v>
      </c>
      <c r="Y1600">
        <v>2.1897986176103558E-3</v>
      </c>
    </row>
    <row r="1601" spans="1:25" x14ac:dyDescent="0.25">
      <c r="A1601" s="1096"/>
      <c r="B1601" s="1455">
        <v>1351</v>
      </c>
      <c r="C1601" s="1100">
        <v>1.0206405742893241</v>
      </c>
      <c r="D1601" s="1100">
        <v>0.98546966068923258</v>
      </c>
      <c r="E1601" s="1100">
        <v>0.97729194003333031</v>
      </c>
      <c r="F1601" s="1100">
        <v>1.0181541234779898</v>
      </c>
      <c r="G1601" s="1100">
        <v>1.0105984671474055</v>
      </c>
      <c r="H1601" s="1100">
        <v>0.99450444446623865</v>
      </c>
      <c r="I1601" s="1100">
        <v>0.98158813677809231</v>
      </c>
      <c r="K1601">
        <v>1.157473360356835</v>
      </c>
      <c r="L1601">
        <v>0</v>
      </c>
      <c r="M1601">
        <v>8.2263033254273508E-4</v>
      </c>
      <c r="N1601">
        <v>7.067563163683796E-2</v>
      </c>
      <c r="O1601">
        <v>1.0192196295591448E-2</v>
      </c>
      <c r="P1601">
        <v>1.349019826758829E-2</v>
      </c>
      <c r="Q1601">
        <v>4.3252750893182495E-4</v>
      </c>
      <c r="R1601">
        <v>8.2079834056066503E-4</v>
      </c>
      <c r="S1601">
        <v>7.0364211238853461E-2</v>
      </c>
      <c r="T1601">
        <v>0.84419726744150847</v>
      </c>
      <c r="U1601">
        <v>0</v>
      </c>
      <c r="V1601">
        <v>9.2044754969390782E-2</v>
      </c>
      <c r="W1601">
        <v>4.7065696585421639E-2</v>
      </c>
      <c r="X1601">
        <v>6.7787658977873973E-3</v>
      </c>
      <c r="Y1601">
        <v>2.2339425069058832E-3</v>
      </c>
    </row>
    <row r="1602" spans="1:25" x14ac:dyDescent="0.25">
      <c r="A1602" s="1096"/>
      <c r="B1602" s="1455">
        <v>1352</v>
      </c>
      <c r="C1602" s="1100">
        <v>0.98286713254251878</v>
      </c>
      <c r="D1602" s="1100">
        <v>1.0068925626052421</v>
      </c>
      <c r="E1602" s="1100">
        <v>1.0269799789160081</v>
      </c>
      <c r="F1602" s="1100">
        <v>0.96496954030666837</v>
      </c>
      <c r="G1602" s="1100">
        <v>1.0117934980655618</v>
      </c>
      <c r="H1602" s="1100">
        <v>1.0010346691626635</v>
      </c>
      <c r="I1602" s="1100">
        <v>0.99804156655471654</v>
      </c>
      <c r="K1602">
        <v>1.1241767840631611</v>
      </c>
      <c r="L1602">
        <v>0</v>
      </c>
      <c r="M1602">
        <v>7.6897693241701317E-4</v>
      </c>
      <c r="N1602">
        <v>7.6766191722159205E-2</v>
      </c>
      <c r="O1602">
        <v>1.0509751628631506E-2</v>
      </c>
      <c r="P1602">
        <v>1.3403717824423138E-2</v>
      </c>
      <c r="Q1602">
        <v>4.6881857308405582E-4</v>
      </c>
      <c r="R1602">
        <v>7.6727559767250978E-4</v>
      </c>
      <c r="S1602">
        <v>7.3804900559344314E-2</v>
      </c>
      <c r="T1602">
        <v>0.79692852092298461</v>
      </c>
      <c r="U1602">
        <v>0</v>
      </c>
      <c r="V1602">
        <v>9.3036186059535633E-2</v>
      </c>
      <c r="W1602">
        <v>4.9636350721676492E-2</v>
      </c>
      <c r="X1602">
        <v>7.5357761415351656E-3</v>
      </c>
      <c r="Y1602">
        <v>2.088271244531776E-3</v>
      </c>
    </row>
    <row r="1603" spans="1:25" x14ac:dyDescent="0.25">
      <c r="A1603" s="1096"/>
      <c r="B1603" s="1455">
        <v>1353</v>
      </c>
      <c r="C1603" s="1100">
        <v>1.0279821955255239</v>
      </c>
      <c r="D1603" s="1100">
        <v>1.0061397005903858</v>
      </c>
      <c r="E1603" s="1100">
        <v>1.0206960552638793</v>
      </c>
      <c r="F1603" s="1100">
        <v>1.0025323644103981</v>
      </c>
      <c r="G1603" s="1100">
        <v>0.99229974144300925</v>
      </c>
      <c r="H1603" s="1100">
        <v>0.99308165669590753</v>
      </c>
      <c r="I1603" s="1100">
        <v>1.0014070661424559</v>
      </c>
      <c r="K1603">
        <v>1.1429891925816937</v>
      </c>
      <c r="L1603">
        <v>0</v>
      </c>
      <c r="M1603">
        <v>7.3921346608531765E-4</v>
      </c>
      <c r="N1603">
        <v>7.2408263809792456E-2</v>
      </c>
      <c r="O1603">
        <v>1.0049513909087003E-2</v>
      </c>
      <c r="P1603">
        <v>1.3704798461668119E-2</v>
      </c>
      <c r="Q1603">
        <v>4.4550239203174807E-4</v>
      </c>
      <c r="R1603">
        <v>7.3756488433644968E-4</v>
      </c>
      <c r="S1603">
        <v>7.0509231556310503E-2</v>
      </c>
      <c r="T1603">
        <v>0.82836231957948037</v>
      </c>
      <c r="U1603">
        <v>0</v>
      </c>
      <c r="V1603">
        <v>9.1094992297692245E-2</v>
      </c>
      <c r="W1603">
        <v>4.6990474238538707E-2</v>
      </c>
      <c r="X1603">
        <v>7.4183364418753117E-3</v>
      </c>
      <c r="Y1603">
        <v>2.0074084769650395E-3</v>
      </c>
    </row>
    <row r="1604" spans="1:25" x14ac:dyDescent="0.25">
      <c r="A1604" s="1096"/>
      <c r="B1604" s="1455">
        <v>1354</v>
      </c>
      <c r="C1604" s="1100">
        <v>1.0149067926510065</v>
      </c>
      <c r="D1604" s="1100">
        <v>0.99059708568457583</v>
      </c>
      <c r="E1604" s="1100">
        <v>0.98540475383527071</v>
      </c>
      <c r="F1604" s="1100">
        <v>1.0165537893855587</v>
      </c>
      <c r="G1604" s="1100">
        <v>0.98866277278817294</v>
      </c>
      <c r="H1604" s="1100">
        <v>0.99458553653231951</v>
      </c>
      <c r="I1604" s="1100">
        <v>0.96623410719850555</v>
      </c>
      <c r="K1604">
        <v>1.1552127843503071</v>
      </c>
      <c r="L1604">
        <v>0</v>
      </c>
      <c r="M1604">
        <v>8.1189186443326891E-4</v>
      </c>
      <c r="N1604">
        <v>7.1486272364946798E-2</v>
      </c>
      <c r="O1604">
        <v>1.0231141561802791E-2</v>
      </c>
      <c r="P1604">
        <v>1.3525556840301047E-2</v>
      </c>
      <c r="Q1604">
        <v>4.3777251702717331E-4</v>
      </c>
      <c r="R1604">
        <v>8.1008393436331097E-4</v>
      </c>
      <c r="S1604">
        <v>6.9481543573850932E-2</v>
      </c>
      <c r="T1604">
        <v>0.84231938190754041</v>
      </c>
      <c r="U1604">
        <v>0</v>
      </c>
      <c r="V1604">
        <v>9.1244841817623074E-2</v>
      </c>
      <c r="W1604">
        <v>4.7373146375569136E-2</v>
      </c>
      <c r="X1604">
        <v>6.9101538964752565E-3</v>
      </c>
      <c r="Y1604">
        <v>2.2047814252397391E-3</v>
      </c>
    </row>
    <row r="1605" spans="1:25" x14ac:dyDescent="0.25">
      <c r="A1605" s="1096"/>
      <c r="B1605" s="1455">
        <v>1355</v>
      </c>
      <c r="C1605" s="1100">
        <v>0.99563909482662938</v>
      </c>
      <c r="D1605" s="1100">
        <v>1.0227118744504169</v>
      </c>
      <c r="E1605" s="1100">
        <v>0.97393135263099584</v>
      </c>
      <c r="F1605" s="1100">
        <v>0.97291762939335658</v>
      </c>
      <c r="G1605" s="1100">
        <v>0.97920061467769581</v>
      </c>
      <c r="H1605" s="1100">
        <v>0.97604186370145318</v>
      </c>
      <c r="I1605" s="1100">
        <v>1.0119381628623669</v>
      </c>
      <c r="K1605">
        <v>1.1193432471003326</v>
      </c>
      <c r="L1605">
        <v>0</v>
      </c>
      <c r="M1605">
        <v>8.2112464645410239E-4</v>
      </c>
      <c r="N1605">
        <v>6.9829414595405953E-2</v>
      </c>
      <c r="O1605">
        <v>1.0293158036011647E-2</v>
      </c>
      <c r="P1605">
        <v>1.2971994953107611E-2</v>
      </c>
      <c r="Q1605">
        <v>4.3531892627269935E-4</v>
      </c>
      <c r="R1605">
        <v>8.1926141751782245E-4</v>
      </c>
      <c r="S1605">
        <v>7.2197900401476098E-2</v>
      </c>
      <c r="T1605">
        <v>0.8069087021672734</v>
      </c>
      <c r="U1605">
        <v>0</v>
      </c>
      <c r="V1605">
        <v>9.1310954663286703E-2</v>
      </c>
      <c r="W1605">
        <v>4.6596954913389436E-2</v>
      </c>
      <c r="X1605">
        <v>6.5709521640153193E-3</v>
      </c>
      <c r="Y1605">
        <v>2.2297595090298109E-3</v>
      </c>
    </row>
    <row r="1606" spans="1:25" x14ac:dyDescent="0.25">
      <c r="A1606" s="1096"/>
      <c r="B1606" s="1455">
        <v>1356</v>
      </c>
      <c r="C1606" s="1100">
        <v>1.0134035654832778</v>
      </c>
      <c r="D1606" s="1100">
        <v>0.99620579900919692</v>
      </c>
      <c r="E1606" s="1100">
        <v>0.97114570701710712</v>
      </c>
      <c r="F1606" s="1100">
        <v>1.0165888896859232</v>
      </c>
      <c r="G1606" s="1100">
        <v>0.99838742215664855</v>
      </c>
      <c r="H1606" s="1100">
        <v>0.9702678503599671</v>
      </c>
      <c r="I1606" s="1100">
        <v>0.96021561371517006</v>
      </c>
      <c r="K1606">
        <v>1.1505873332516448</v>
      </c>
      <c r="L1606">
        <v>0</v>
      </c>
      <c r="M1606">
        <v>8.1510223234335208E-4</v>
      </c>
      <c r="N1606">
        <v>6.8734233351882237E-2</v>
      </c>
      <c r="O1606">
        <v>1.0218607652225424E-2</v>
      </c>
      <c r="P1606">
        <v>1.3378957048855805E-2</v>
      </c>
      <c r="Q1606">
        <v>4.3093908336091141E-4</v>
      </c>
      <c r="R1606">
        <v>8.1324166232188422E-4</v>
      </c>
      <c r="S1606">
        <v>6.7996647945361519E-2</v>
      </c>
      <c r="T1606">
        <v>0.84331833413878343</v>
      </c>
      <c r="U1606">
        <v>0</v>
      </c>
      <c r="V1606">
        <v>9.1695085730387094E-2</v>
      </c>
      <c r="W1606">
        <v>4.594381608609524E-2</v>
      </c>
      <c r="X1606">
        <v>6.6591970649149514E-3</v>
      </c>
      <c r="Y1606">
        <v>2.2133757197982345E-3</v>
      </c>
    </row>
    <row r="1607" spans="1:25" x14ac:dyDescent="0.25">
      <c r="A1607" s="1096"/>
      <c r="B1607" s="1455">
        <v>1357</v>
      </c>
      <c r="C1607" s="1100">
        <v>1.0057425013613071</v>
      </c>
      <c r="D1607" s="1100">
        <v>1.0086646220385893</v>
      </c>
      <c r="E1607" s="1100">
        <v>1.006550875386395</v>
      </c>
      <c r="F1607" s="1100">
        <v>0.97973993413371507</v>
      </c>
      <c r="G1607" s="1100">
        <v>1.0126847075872081</v>
      </c>
      <c r="H1607" s="1100">
        <v>0.97631308854518262</v>
      </c>
      <c r="I1607" s="1100">
        <v>1.0181188969334369</v>
      </c>
      <c r="K1607">
        <v>1.127355885782414</v>
      </c>
      <c r="L1607">
        <v>0</v>
      </c>
      <c r="M1607">
        <v>7.6419980320049008E-4</v>
      </c>
      <c r="N1607">
        <v>7.1724447906921188E-2</v>
      </c>
      <c r="O1607">
        <v>1.0256846130086152E-2</v>
      </c>
      <c r="P1607">
        <v>1.3363175062456894E-2</v>
      </c>
      <c r="Q1607">
        <v>4.4832206159821147E-4</v>
      </c>
      <c r="R1607">
        <v>7.6246622519678413E-4</v>
      </c>
      <c r="S1607">
        <v>7.2471814751844416E-2</v>
      </c>
      <c r="T1607">
        <v>0.81044100799093988</v>
      </c>
      <c r="U1607">
        <v>0</v>
      </c>
      <c r="V1607">
        <v>9.2497405406373467E-2</v>
      </c>
      <c r="W1607">
        <v>4.6935461318705185E-2</v>
      </c>
      <c r="X1607">
        <v>7.1439570134300499E-3</v>
      </c>
      <c r="Y1607">
        <v>2.0751817180620614E-3</v>
      </c>
    </row>
    <row r="1608" spans="1:25" x14ac:dyDescent="0.25">
      <c r="A1608" s="1096"/>
      <c r="B1608" s="1455">
        <v>1358</v>
      </c>
      <c r="C1608" s="1100">
        <v>1.0058332903987133</v>
      </c>
      <c r="D1608" s="1100">
        <v>1.0155375291574062</v>
      </c>
      <c r="E1608" s="1100">
        <v>0.99905556834092735</v>
      </c>
      <c r="F1608" s="1100">
        <v>0.97864915240527706</v>
      </c>
      <c r="G1608" s="1100">
        <v>0.96757509828569899</v>
      </c>
      <c r="H1608" s="1100">
        <v>1.0256710030934868</v>
      </c>
      <c r="I1608" s="1100">
        <v>0.99249130066663327</v>
      </c>
      <c r="K1608">
        <v>1.1297579895934728</v>
      </c>
      <c r="L1608">
        <v>0</v>
      </c>
      <c r="M1608">
        <v>8.1313407358399314E-4</v>
      </c>
      <c r="N1608">
        <v>7.4616937577896641E-2</v>
      </c>
      <c r="O1608">
        <v>1.0225674881778403E-2</v>
      </c>
      <c r="P1608">
        <v>1.325515987744832E-2</v>
      </c>
      <c r="Q1608">
        <v>4.4360995984011882E-4</v>
      </c>
      <c r="R1608">
        <v>8.1137825492340657E-4</v>
      </c>
      <c r="S1608">
        <v>7.2355514901517634E-2</v>
      </c>
      <c r="T1608">
        <v>0.81002367724000923</v>
      </c>
      <c r="U1608">
        <v>0</v>
      </c>
      <c r="V1608">
        <v>9.0565513753101276E-2</v>
      </c>
      <c r="W1608">
        <v>4.9045788437006771E-2</v>
      </c>
      <c r="X1608">
        <v>7.0195646444033708E-3</v>
      </c>
      <c r="Y1608">
        <v>2.2083041391316618E-3</v>
      </c>
    </row>
    <row r="1609" spans="1:25" x14ac:dyDescent="0.25">
      <c r="A1609" s="1096"/>
      <c r="B1609" s="1455">
        <v>1359</v>
      </c>
      <c r="C1609" s="1100">
        <v>1.0233593232064457</v>
      </c>
      <c r="D1609" s="1100">
        <v>0.9904768526364397</v>
      </c>
      <c r="E1609" s="1100">
        <v>1.0252645347094207</v>
      </c>
      <c r="F1609" s="1100">
        <v>1.0015596126709538</v>
      </c>
      <c r="G1609" s="1100">
        <v>0.99949476488924205</v>
      </c>
      <c r="H1609" s="1100">
        <v>0.97954521023588847</v>
      </c>
      <c r="I1609" s="1100">
        <v>0.98955771584702035</v>
      </c>
      <c r="K1609">
        <v>1.1420656583959805</v>
      </c>
      <c r="L1609">
        <v>0</v>
      </c>
      <c r="M1609">
        <v>7.3006646038892113E-4</v>
      </c>
      <c r="N1609">
        <v>7.2502241800545597E-2</v>
      </c>
      <c r="O1609">
        <v>1.0159936663089236E-2</v>
      </c>
      <c r="P1609">
        <v>1.3734454836922334E-2</v>
      </c>
      <c r="Q1609">
        <v>4.5244438302159608E-4</v>
      </c>
      <c r="R1609">
        <v>7.2841577810684268E-4</v>
      </c>
      <c r="S1609">
        <v>7.0026612648790926E-2</v>
      </c>
      <c r="T1609">
        <v>0.82725904485139368</v>
      </c>
      <c r="U1609">
        <v>0</v>
      </c>
      <c r="V1609">
        <v>9.1512174618465586E-2</v>
      </c>
      <c r="W1609">
        <v>4.6926164746408441E-2</v>
      </c>
      <c r="X1609">
        <v>7.51172690381555E-3</v>
      </c>
      <c r="Y1609">
        <v>1.9825076258101078E-3</v>
      </c>
    </row>
    <row r="1610" spans="1:25" x14ac:dyDescent="0.25">
      <c r="A1610" s="1096"/>
      <c r="B1610" s="1455">
        <v>1360</v>
      </c>
      <c r="C1610" s="1100">
        <v>0.98816833347141797</v>
      </c>
      <c r="D1610" s="1100">
        <v>0.97302234860777492</v>
      </c>
      <c r="E1610" s="1100">
        <v>1.0287021918558628</v>
      </c>
      <c r="F1610" s="1100">
        <v>0.99692229502913143</v>
      </c>
      <c r="G1610" s="1100">
        <v>1.0068163578944422</v>
      </c>
      <c r="H1610" s="1100">
        <v>1.0098007878022761</v>
      </c>
      <c r="I1610" s="1100">
        <v>1.0054301493296944</v>
      </c>
      <c r="K1610">
        <v>1.1549845727021586</v>
      </c>
      <c r="L1610">
        <v>0</v>
      </c>
      <c r="M1610">
        <v>7.7938106055242939E-4</v>
      </c>
      <c r="N1610">
        <v>7.8211387608239855E-2</v>
      </c>
      <c r="O1610">
        <v>1.0598006764160934E-2</v>
      </c>
      <c r="P1610">
        <v>1.3807008567028831E-2</v>
      </c>
      <c r="Q1610">
        <v>4.7356207754917581E-4</v>
      </c>
      <c r="R1610">
        <v>7.7767167621369004E-4</v>
      </c>
      <c r="S1610">
        <v>7.5632518836112286E-2</v>
      </c>
      <c r="T1610">
        <v>0.82320486383223457</v>
      </c>
      <c r="U1610">
        <v>0</v>
      </c>
      <c r="V1610">
        <v>9.2688450054820529E-2</v>
      </c>
      <c r="W1610">
        <v>5.0520185633211812E-2</v>
      </c>
      <c r="X1610">
        <v>7.7337327698848166E-3</v>
      </c>
      <c r="Y1610">
        <v>2.1165659432544988E-3</v>
      </c>
    </row>
    <row r="1611" spans="1:25" x14ac:dyDescent="0.25">
      <c r="A1611" s="1096"/>
      <c r="B1611" s="1455">
        <v>1361</v>
      </c>
      <c r="C1611" s="1100">
        <v>1.0077271482241164</v>
      </c>
      <c r="D1611" s="1100">
        <v>0.9900524384098901</v>
      </c>
      <c r="E1611" s="1100">
        <v>0.98074177718774203</v>
      </c>
      <c r="F1611" s="1100">
        <v>0.95831065600153709</v>
      </c>
      <c r="G1611" s="1100">
        <v>0.9984646959196305</v>
      </c>
      <c r="H1611" s="1100">
        <v>1.0046167764066234</v>
      </c>
      <c r="I1611" s="1100">
        <v>1.0208977027450508</v>
      </c>
      <c r="K1611">
        <v>1.1136640878885611</v>
      </c>
      <c r="L1611">
        <v>0</v>
      </c>
      <c r="M1611">
        <v>8.3411272979198566E-4</v>
      </c>
      <c r="N1611">
        <v>7.2415743574591587E-2</v>
      </c>
      <c r="O1611">
        <v>1.0304784835739492E-2</v>
      </c>
      <c r="P1611">
        <v>1.2907129222631628E-2</v>
      </c>
      <c r="Q1611">
        <v>4.3884234780184001E-4</v>
      </c>
      <c r="R1611">
        <v>8.3227386456308716E-4</v>
      </c>
      <c r="S1611">
        <v>7.4365737777478472E-2</v>
      </c>
      <c r="T1611">
        <v>0.79435724436809385</v>
      </c>
      <c r="U1611">
        <v>0</v>
      </c>
      <c r="V1611">
        <v>9.1837308885270419E-2</v>
      </c>
      <c r="W1611">
        <v>4.8124076167951661E-2</v>
      </c>
      <c r="X1611">
        <v>6.6498844738964282E-3</v>
      </c>
      <c r="Y1611">
        <v>2.2651751003350054E-3</v>
      </c>
    </row>
    <row r="1612" spans="1:25" x14ac:dyDescent="0.25">
      <c r="A1612" s="1096"/>
      <c r="B1612" s="1455">
        <v>1362</v>
      </c>
      <c r="C1612" s="1100">
        <v>0.99520399360911682</v>
      </c>
      <c r="D1612" s="1100">
        <v>1.0085700029021794</v>
      </c>
      <c r="E1612" s="1100">
        <v>0.97414537156132319</v>
      </c>
      <c r="F1612" s="1100">
        <v>0.98463284817373553</v>
      </c>
      <c r="G1612" s="1100">
        <v>0.98283619631340446</v>
      </c>
      <c r="H1612" s="1100">
        <v>0.9798854558535216</v>
      </c>
      <c r="I1612" s="1100">
        <v>0.97041392362560119</v>
      </c>
      <c r="K1612">
        <v>1.1283528766394542</v>
      </c>
      <c r="L1612">
        <v>0</v>
      </c>
      <c r="M1612">
        <v>8.2895828111986586E-4</v>
      </c>
      <c r="N1612">
        <v>7.0541909617000131E-2</v>
      </c>
      <c r="O1612">
        <v>1.035524317571089E-2</v>
      </c>
      <c r="P1612">
        <v>1.307548907200036E-2</v>
      </c>
      <c r="Q1612">
        <v>4.3804022775791984E-4</v>
      </c>
      <c r="R1612">
        <v>8.2708465496332409E-4</v>
      </c>
      <c r="S1612">
        <v>6.9915667206420937E-2</v>
      </c>
      <c r="T1612">
        <v>0.81661082490857606</v>
      </c>
      <c r="U1612">
        <v>0</v>
      </c>
      <c r="V1612">
        <v>9.1477357960535119E-2</v>
      </c>
      <c r="W1612">
        <v>4.7066289080898702E-2</v>
      </c>
      <c r="X1612">
        <v>6.6228772342830687E-3</v>
      </c>
      <c r="Y1612">
        <v>2.2510517824269362E-3</v>
      </c>
    </row>
    <row r="1613" spans="1:25" x14ac:dyDescent="0.25">
      <c r="A1613" s="1096"/>
      <c r="B1613" s="1455">
        <v>1363</v>
      </c>
      <c r="C1613" s="1100">
        <v>0.97119126154944879</v>
      </c>
      <c r="D1613" s="1100">
        <v>1.0034075292970597</v>
      </c>
      <c r="E1613" s="1100">
        <v>1.0258916531476192</v>
      </c>
      <c r="F1613" s="1100">
        <v>0.99493583685424425</v>
      </c>
      <c r="G1613" s="1100">
        <v>1.0141577785459692</v>
      </c>
      <c r="H1613" s="1100">
        <v>0.9864833721275289</v>
      </c>
      <c r="I1613" s="1100">
        <v>1.0233765525457246</v>
      </c>
      <c r="K1613">
        <v>1.1520875223769729</v>
      </c>
      <c r="L1613">
        <v>0</v>
      </c>
      <c r="M1613">
        <v>7.6971633556050401E-4</v>
      </c>
      <c r="N1613">
        <v>7.6585748450387653E-2</v>
      </c>
      <c r="O1613">
        <v>1.0650495536669767E-2</v>
      </c>
      <c r="P1613">
        <v>1.377545858505605E-2</v>
      </c>
      <c r="Q1613">
        <v>4.7458493146365074E-4</v>
      </c>
      <c r="R1613">
        <v>7.6798824494321799E-4</v>
      </c>
      <c r="S1613">
        <v>7.6100047076779836E-2</v>
      </c>
      <c r="T1613">
        <v>0.82174720835022341</v>
      </c>
      <c r="U1613">
        <v>0</v>
      </c>
      <c r="V1613">
        <v>9.344030860895168E-2</v>
      </c>
      <c r="W1613">
        <v>4.9551059148586887E-2</v>
      </c>
      <c r="X1613">
        <v>7.6741289439930319E-3</v>
      </c>
      <c r="Y1613">
        <v>2.0902108354785339E-3</v>
      </c>
    </row>
    <row r="1614" spans="1:25" x14ac:dyDescent="0.25">
      <c r="A1614" s="1096"/>
      <c r="B1614" s="1455">
        <v>1364</v>
      </c>
      <c r="C1614" s="1100">
        <v>0.98864896727945062</v>
      </c>
      <c r="D1614" s="1100">
        <v>0.96714517113215326</v>
      </c>
      <c r="E1614" s="1100">
        <v>1.025334454083088</v>
      </c>
      <c r="F1614" s="1100">
        <v>1.0140823554192624</v>
      </c>
      <c r="G1614" s="1100">
        <v>0.98485921939061061</v>
      </c>
      <c r="H1614" s="1100">
        <v>0.98403656101105041</v>
      </c>
      <c r="I1614" s="1100">
        <v>1.0252362680523406</v>
      </c>
      <c r="K1614">
        <v>1.1657984845887379</v>
      </c>
      <c r="L1614">
        <v>0</v>
      </c>
      <c r="M1614">
        <v>7.6632503568650301E-4</v>
      </c>
      <c r="N1614">
        <v>7.6119883516237261E-2</v>
      </c>
      <c r="O1614">
        <v>1.061742159010564E-2</v>
      </c>
      <c r="P1614">
        <v>1.3967975236863979E-2</v>
      </c>
      <c r="Q1614">
        <v>4.7284996657406456E-4</v>
      </c>
      <c r="R1614">
        <v>7.6460028090570597E-4</v>
      </c>
      <c r="S1614">
        <v>7.6218864147257676E-2</v>
      </c>
      <c r="T1614">
        <v>0.83759782927905202</v>
      </c>
      <c r="U1614">
        <v>0</v>
      </c>
      <c r="V1614">
        <v>9.1737291794873083E-2</v>
      </c>
      <c r="W1614">
        <v>4.9265630925703199E-2</v>
      </c>
      <c r="X1614">
        <v>7.7214729726417641E-3</v>
      </c>
      <c r="Y1614">
        <v>2.0809899142104709E-3</v>
      </c>
    </row>
    <row r="1615" spans="1:25" x14ac:dyDescent="0.25">
      <c r="A1615" s="1096"/>
      <c r="B1615" s="1455">
        <v>1365</v>
      </c>
      <c r="C1615" s="1100">
        <v>1.0093879484892365</v>
      </c>
      <c r="D1615" s="1100">
        <v>0.99969529962881065</v>
      </c>
      <c r="E1615" s="1100">
        <v>0.9948177372742173</v>
      </c>
      <c r="F1615" s="1100">
        <v>0.99774720894924329</v>
      </c>
      <c r="G1615" s="1100">
        <v>0.95445291548062683</v>
      </c>
      <c r="H1615" s="1100">
        <v>0.96937239281817555</v>
      </c>
      <c r="I1615" s="1100">
        <v>0.97905477268808272</v>
      </c>
      <c r="K1615">
        <v>1.1355045497241933</v>
      </c>
      <c r="L1615">
        <v>0</v>
      </c>
      <c r="M1615">
        <v>7.7742736491277667E-4</v>
      </c>
      <c r="N1615">
        <v>7.0423693920360783E-2</v>
      </c>
      <c r="O1615">
        <v>1.0252576501148235E-2</v>
      </c>
      <c r="P1615">
        <v>1.3383592132829497E-2</v>
      </c>
      <c r="Q1615">
        <v>4.4288317950362391E-4</v>
      </c>
      <c r="R1615">
        <v>7.7565115309922495E-4</v>
      </c>
      <c r="S1615">
        <v>6.9472357607526819E-2</v>
      </c>
      <c r="T1615">
        <v>0.82611140815353357</v>
      </c>
      <c r="U1615">
        <v>0</v>
      </c>
      <c r="V1615">
        <v>8.9916989956692811E-2</v>
      </c>
      <c r="W1615">
        <v>4.6406586415249196E-2</v>
      </c>
      <c r="X1615">
        <v>6.9851713237593892E-3</v>
      </c>
      <c r="Y1615">
        <v>2.1110667454021905E-3</v>
      </c>
    </row>
    <row r="1616" spans="1:25" x14ac:dyDescent="0.25">
      <c r="A1616" s="1096"/>
      <c r="B1616" s="1455">
        <v>1366</v>
      </c>
      <c r="C1616" s="1100">
        <v>1.0000974890741925</v>
      </c>
      <c r="D1616" s="1100">
        <v>0.99661469216341636</v>
      </c>
      <c r="E1616" s="1100">
        <v>0.99347737744559783</v>
      </c>
      <c r="F1616" s="1100">
        <v>1.0313696372827548</v>
      </c>
      <c r="G1616" s="1100">
        <v>0.98062065183399361</v>
      </c>
      <c r="H1616" s="1100">
        <v>0.96028894050459246</v>
      </c>
      <c r="I1616" s="1100">
        <v>0.99506350628639928</v>
      </c>
      <c r="K1616">
        <v>1.1669945240954809</v>
      </c>
      <c r="L1616">
        <v>0</v>
      </c>
      <c r="M1616">
        <v>7.8042181969222198E-4</v>
      </c>
      <c r="N1616">
        <v>7.0407599102774582E-2</v>
      </c>
      <c r="O1616">
        <v>1.0360162009473437E-2</v>
      </c>
      <c r="P1616">
        <v>1.3788128523795335E-2</v>
      </c>
      <c r="Q1616">
        <v>4.4692607041024745E-4</v>
      </c>
      <c r="R1616">
        <v>7.786219003086698E-4</v>
      </c>
      <c r="S1616">
        <v>7.100798531292532E-2</v>
      </c>
      <c r="T1616">
        <v>0.85404177815669646</v>
      </c>
      <c r="U1616">
        <v>0</v>
      </c>
      <c r="V1616">
        <v>9.1263684528936698E-2</v>
      </c>
      <c r="W1616">
        <v>4.6433127396749534E-2</v>
      </c>
      <c r="X1616">
        <v>7.127780773102786E-3</v>
      </c>
      <c r="Y1616">
        <v>2.1191521399997445E-3</v>
      </c>
    </row>
    <row r="1617" spans="1:25" x14ac:dyDescent="0.25">
      <c r="A1617" s="1096"/>
      <c r="B1617" s="1455">
        <v>1367</v>
      </c>
      <c r="C1617" s="1100">
        <v>1.0464035102840539</v>
      </c>
      <c r="D1617" s="1100">
        <v>0.98223905400813605</v>
      </c>
      <c r="E1617" s="1100">
        <v>1.0145905027748272</v>
      </c>
      <c r="F1617" s="1100">
        <v>1.0118098492234442</v>
      </c>
      <c r="G1617" s="1100">
        <v>0.98550871583709976</v>
      </c>
      <c r="H1617" s="1100">
        <v>1.0166650764060738</v>
      </c>
      <c r="I1617" s="1100">
        <v>1.0368429414573301</v>
      </c>
      <c r="K1617">
        <v>1.1547119020158325</v>
      </c>
      <c r="L1617">
        <v>0</v>
      </c>
      <c r="M1617">
        <v>7.6022262732987876E-4</v>
      </c>
      <c r="N1617">
        <v>7.3110686701148869E-2</v>
      </c>
      <c r="O1617">
        <v>9.966068269364645E-3</v>
      </c>
      <c r="P1617">
        <v>1.3786866197108841E-2</v>
      </c>
      <c r="Q1617">
        <v>4.3912618809443615E-4</v>
      </c>
      <c r="R1617">
        <v>7.5856652005694164E-4</v>
      </c>
      <c r="S1617">
        <v>7.3561308291561947E-2</v>
      </c>
      <c r="T1617">
        <v>0.83643348458886635</v>
      </c>
      <c r="U1617">
        <v>0</v>
      </c>
      <c r="V1617">
        <v>9.03792449835054E-2</v>
      </c>
      <c r="W1617">
        <v>4.7616423058028351E-2</v>
      </c>
      <c r="X1617">
        <v>7.355781839217041E-3</v>
      </c>
      <c r="Y1617">
        <v>2.0645680062088643E-3</v>
      </c>
    </row>
    <row r="1618" spans="1:25" x14ac:dyDescent="0.25">
      <c r="A1618" s="1096"/>
      <c r="B1618" s="1455">
        <v>1368</v>
      </c>
      <c r="C1618" s="1100">
        <v>1.0339324739178233</v>
      </c>
      <c r="D1618" s="1100">
        <v>0.98719224594106914</v>
      </c>
      <c r="E1618" s="1100">
        <v>1.0303152019554556</v>
      </c>
      <c r="F1618" s="1100">
        <v>0.98471935976309288</v>
      </c>
      <c r="G1618" s="1100">
        <v>0.98456543575938482</v>
      </c>
      <c r="H1618" s="1100">
        <v>1.0170917323838466</v>
      </c>
      <c r="I1618" s="1100">
        <v>0.96385854412310534</v>
      </c>
      <c r="K1618">
        <v>1.1296963459970861</v>
      </c>
      <c r="L1618">
        <v>0</v>
      </c>
      <c r="M1618">
        <v>7.4343299082679185E-4</v>
      </c>
      <c r="N1618">
        <v>7.4968818171243679E-2</v>
      </c>
      <c r="O1618">
        <v>1.007102358530503E-2</v>
      </c>
      <c r="P1618">
        <v>1.3560896135188362E-2</v>
      </c>
      <c r="Q1618">
        <v>4.507327619669576E-4</v>
      </c>
      <c r="R1618">
        <v>7.4181413831523539E-4</v>
      </c>
      <c r="S1618">
        <v>6.9063656751767594E-2</v>
      </c>
      <c r="T1618">
        <v>0.81302469752092499</v>
      </c>
      <c r="U1618">
        <v>0</v>
      </c>
      <c r="V1618">
        <v>9.0627235685238547E-2</v>
      </c>
      <c r="W1618">
        <v>4.838032914798443E-2</v>
      </c>
      <c r="X1618">
        <v>7.5316015444488781E-3</v>
      </c>
      <c r="Y1618">
        <v>2.0189735455290957E-3</v>
      </c>
    </row>
    <row r="1619" spans="1:25" x14ac:dyDescent="0.25">
      <c r="A1619" s="1096"/>
      <c r="B1619" s="1455">
        <v>1369</v>
      </c>
      <c r="C1619" s="1100">
        <v>1.0196316861181396</v>
      </c>
      <c r="D1619" s="1100">
        <v>1.0143908094288605</v>
      </c>
      <c r="E1619" s="1100">
        <v>1.0209228147524416</v>
      </c>
      <c r="F1619" s="1100">
        <v>0.9606303126675112</v>
      </c>
      <c r="G1619" s="1100">
        <v>1.0011989635931826</v>
      </c>
      <c r="H1619" s="1100">
        <v>1.014049744997261</v>
      </c>
      <c r="I1619" s="1100">
        <v>1.0003019895703265</v>
      </c>
      <c r="K1619">
        <v>1.1126317369541259</v>
      </c>
      <c r="L1619">
        <v>0</v>
      </c>
      <c r="M1619">
        <v>7.5816320239138161E-4</v>
      </c>
      <c r="N1619">
        <v>7.4318701767841069E-2</v>
      </c>
      <c r="O1619">
        <v>1.0098843443432223E-2</v>
      </c>
      <c r="P1619">
        <v>1.3249924068949828E-2</v>
      </c>
      <c r="Q1619">
        <v>4.477900965125248E-4</v>
      </c>
      <c r="R1619">
        <v>7.5650732178496403E-4</v>
      </c>
      <c r="S1619">
        <v>7.154371348430287E-2</v>
      </c>
      <c r="T1619">
        <v>0.79372564072320317</v>
      </c>
      <c r="U1619">
        <v>0</v>
      </c>
      <c r="V1619">
        <v>9.1672887257293043E-2</v>
      </c>
      <c r="W1619">
        <v>4.8223888763322793E-2</v>
      </c>
      <c r="X1619">
        <v>7.2930396825487149E-3</v>
      </c>
      <c r="Y1619">
        <v>2.0589635473270687E-3</v>
      </c>
    </row>
    <row r="1620" spans="1:25" x14ac:dyDescent="0.25">
      <c r="A1620" s="1096"/>
      <c r="B1620" s="1455">
        <v>1370</v>
      </c>
      <c r="C1620" s="1100">
        <v>1.0177850963748027</v>
      </c>
      <c r="D1620" s="1100">
        <v>0.99315492154435359</v>
      </c>
      <c r="E1620" s="1100">
        <v>1.0298934818054808</v>
      </c>
      <c r="F1620" s="1100">
        <v>1.0067693903314363</v>
      </c>
      <c r="G1620" s="1100">
        <v>1.0342302465584019</v>
      </c>
      <c r="H1620" s="1100">
        <v>0.99690114508940531</v>
      </c>
      <c r="I1620" s="1100">
        <v>0.97394685288814786</v>
      </c>
      <c r="K1620">
        <v>1.1509286558340006</v>
      </c>
      <c r="L1620">
        <v>0</v>
      </c>
      <c r="M1620">
        <v>7.3910380054614821E-4</v>
      </c>
      <c r="N1620">
        <v>7.4434274168085457E-2</v>
      </c>
      <c r="O1620">
        <v>1.0206052157523267E-2</v>
      </c>
      <c r="P1620">
        <v>1.3857188998319329E-2</v>
      </c>
      <c r="Q1620">
        <v>4.565856174492944E-4</v>
      </c>
      <c r="R1620">
        <v>7.3746177874670538E-4</v>
      </c>
      <c r="S1620">
        <v>6.9886158231312626E-2</v>
      </c>
      <c r="T1620">
        <v>0.83125780189853127</v>
      </c>
      <c r="U1620">
        <v>0</v>
      </c>
      <c r="V1620">
        <v>9.313001706350188E-2</v>
      </c>
      <c r="W1620">
        <v>4.8047126314698187E-2</v>
      </c>
      <c r="X1620">
        <v>7.647965548838705E-3</v>
      </c>
      <c r="Y1620">
        <v>2.0071278575385042E-3</v>
      </c>
    </row>
    <row r="1621" spans="1:25" x14ac:dyDescent="0.25">
      <c r="A1621" s="1096"/>
      <c r="B1621" s="1455">
        <v>1371</v>
      </c>
      <c r="C1621" s="1100">
        <v>1.0054916444788689</v>
      </c>
      <c r="D1621" s="1100">
        <v>1.008808152738752</v>
      </c>
      <c r="E1621" s="1100">
        <v>1.0252102017268052</v>
      </c>
      <c r="F1621" s="1100">
        <v>0.96168986008168067</v>
      </c>
      <c r="G1621" s="1100">
        <v>0.98565855255251988</v>
      </c>
      <c r="H1621" s="1100">
        <v>0.98354248334325622</v>
      </c>
      <c r="I1621" s="1100">
        <v>0.99150966467253487</v>
      </c>
      <c r="K1621">
        <v>1.1111400652649657</v>
      </c>
      <c r="L1621">
        <v>0</v>
      </c>
      <c r="M1621">
        <v>7.4070308577739528E-4</v>
      </c>
      <c r="N1621">
        <v>7.3547181402167386E-2</v>
      </c>
      <c r="O1621">
        <v>1.0264888479675221E-2</v>
      </c>
      <c r="P1621">
        <v>1.3286553510719216E-2</v>
      </c>
      <c r="Q1621">
        <v>4.5709349938236044E-4</v>
      </c>
      <c r="R1621">
        <v>7.3903516043207493E-4</v>
      </c>
      <c r="S1621">
        <v>7.0900572913263418E-2</v>
      </c>
      <c r="T1621">
        <v>0.79433120796638712</v>
      </c>
      <c r="U1621">
        <v>0</v>
      </c>
      <c r="V1621">
        <v>9.1351362447211884E-2</v>
      </c>
      <c r="W1621">
        <v>4.7603995751317497E-2</v>
      </c>
      <c r="X1621">
        <v>7.3874671363648196E-3</v>
      </c>
      <c r="Y1621">
        <v>2.0114100838209466E-3</v>
      </c>
    </row>
    <row r="1622" spans="1:25" x14ac:dyDescent="0.25">
      <c r="A1622" s="1096"/>
      <c r="B1622" s="1455">
        <v>1372</v>
      </c>
      <c r="C1622" s="1100">
        <v>1.0073775337886686</v>
      </c>
      <c r="D1622" s="1100">
        <v>1.0124911811944384</v>
      </c>
      <c r="E1622" s="1100">
        <v>1.0191924663166887</v>
      </c>
      <c r="F1622" s="1100">
        <v>1.0142202168691459</v>
      </c>
      <c r="G1622" s="1100">
        <v>0.95853866242334895</v>
      </c>
      <c r="H1622" s="1100">
        <v>0.96529868300463628</v>
      </c>
      <c r="I1622" s="1100">
        <v>0.96267008734139259</v>
      </c>
      <c r="K1622">
        <v>1.1480292503551124</v>
      </c>
      <c r="L1622">
        <v>0</v>
      </c>
      <c r="M1622">
        <v>7.3367789081231363E-4</v>
      </c>
      <c r="N1622">
        <v>7.153618693632055E-2</v>
      </c>
      <c r="O1622">
        <v>1.0228795610132761E-2</v>
      </c>
      <c r="P1622">
        <v>1.3774893878553617E-2</v>
      </c>
      <c r="Q1622">
        <v>4.5277275824244257E-4</v>
      </c>
      <c r="R1622">
        <v>7.3199456068543441E-4</v>
      </c>
      <c r="S1622">
        <v>6.7868180832885969E-2</v>
      </c>
      <c r="T1622">
        <v>0.83811961500375731</v>
      </c>
      <c r="U1622">
        <v>0</v>
      </c>
      <c r="V1622">
        <v>9.014503003468631E-2</v>
      </c>
      <c r="W1622">
        <v>4.6465384782659387E-2</v>
      </c>
      <c r="X1622">
        <v>7.4478259557560194E-3</v>
      </c>
      <c r="Y1622">
        <v>1.9922478922436739E-3</v>
      </c>
    </row>
    <row r="1623" spans="1:25" x14ac:dyDescent="0.25">
      <c r="A1623" s="1096"/>
      <c r="B1623" s="1455">
        <v>1373</v>
      </c>
      <c r="C1623" s="1100">
        <v>0.98119616792242836</v>
      </c>
      <c r="D1623" s="1100">
        <v>0.98024910260606091</v>
      </c>
      <c r="E1623" s="1100">
        <v>1.0299959648906598</v>
      </c>
      <c r="F1623" s="1100">
        <v>1.0026930149669255</v>
      </c>
      <c r="G1623" s="1100">
        <v>0.98058719402451588</v>
      </c>
      <c r="H1623" s="1100">
        <v>1.0092679805969043</v>
      </c>
      <c r="I1623" s="1100">
        <v>1.0137379699447693</v>
      </c>
      <c r="K1623">
        <v>1.1603420907162454</v>
      </c>
      <c r="L1623">
        <v>0</v>
      </c>
      <c r="M1623">
        <v>7.8008073775516528E-4</v>
      </c>
      <c r="N1623">
        <v>7.8587432044413735E-2</v>
      </c>
      <c r="O1623">
        <v>1.0642205921182757E-2</v>
      </c>
      <c r="P1623">
        <v>1.3884019421364385E-2</v>
      </c>
      <c r="Q1623">
        <v>4.7614596417112209E-4</v>
      </c>
      <c r="R1623">
        <v>7.7836891562436299E-4</v>
      </c>
      <c r="S1623">
        <v>7.6487172963029135E-2</v>
      </c>
      <c r="T1623">
        <v>0.82788536363583254</v>
      </c>
      <c r="U1623">
        <v>0</v>
      </c>
      <c r="V1623">
        <v>9.1746089367932479E-2</v>
      </c>
      <c r="W1623">
        <v>5.0724960900540898E-2</v>
      </c>
      <c r="X1623">
        <v>7.7919487208220331E-3</v>
      </c>
      <c r="Y1623">
        <v>2.1184635990854407E-3</v>
      </c>
    </row>
    <row r="1624" spans="1:25" x14ac:dyDescent="0.25">
      <c r="A1624" s="1096"/>
      <c r="B1624" s="1455">
        <v>1374</v>
      </c>
      <c r="C1624" s="1100">
        <v>1.0090357405146952</v>
      </c>
      <c r="D1624" s="1100">
        <v>0.97650197419038953</v>
      </c>
      <c r="E1624" s="1100">
        <v>1.0012190857861871</v>
      </c>
      <c r="F1624" s="1100">
        <v>0.99223473140252094</v>
      </c>
      <c r="G1624" s="1100">
        <v>0.97086928757028979</v>
      </c>
      <c r="H1624" s="1100">
        <v>1.0058442133491829</v>
      </c>
      <c r="I1624" s="1100">
        <v>1.0315506204282827</v>
      </c>
      <c r="K1624">
        <v>1.1439976246102288</v>
      </c>
      <c r="L1624">
        <v>0</v>
      </c>
      <c r="M1624">
        <v>8.0383022755369394E-4</v>
      </c>
      <c r="N1624">
        <v>7.4243730419316645E-2</v>
      </c>
      <c r="O1624">
        <v>1.0355004530027372E-2</v>
      </c>
      <c r="P1624">
        <v>1.3473978840199073E-2</v>
      </c>
      <c r="Q1624">
        <v>4.5019845409086464E-4</v>
      </c>
      <c r="R1624">
        <v>8.0206028492334409E-4</v>
      </c>
      <c r="S1624">
        <v>7.5653691461694234E-2</v>
      </c>
      <c r="T1624">
        <v>0.82112628897833706</v>
      </c>
      <c r="U1624">
        <v>0</v>
      </c>
      <c r="V1624">
        <v>9.0628511460638578E-2</v>
      </c>
      <c r="W1624">
        <v>4.8737774729626634E-2</v>
      </c>
      <c r="X1624">
        <v>7.1472719824703388E-3</v>
      </c>
      <c r="Y1624">
        <v>2.1829436964594766E-3</v>
      </c>
    </row>
    <row r="1625" spans="1:25" x14ac:dyDescent="0.25">
      <c r="A1625" s="1096"/>
      <c r="B1625" s="1455">
        <v>1375</v>
      </c>
      <c r="C1625" s="1100">
        <v>0.97653436926557424</v>
      </c>
      <c r="D1625" s="1100">
        <v>0.99632448310229227</v>
      </c>
      <c r="E1625" s="1100">
        <v>0.99716310029553168</v>
      </c>
      <c r="F1625" s="1100">
        <v>1.0281081931460991</v>
      </c>
      <c r="G1625" s="1100">
        <v>0.99640572149971507</v>
      </c>
      <c r="H1625" s="1100">
        <v>1.0082256151100384</v>
      </c>
      <c r="I1625" s="1100">
        <v>0.99008222220398256</v>
      </c>
      <c r="K1625">
        <v>1.1784332758720666</v>
      </c>
      <c r="L1625">
        <v>0</v>
      </c>
      <c r="M1625">
        <v>8.3286133259726327E-4</v>
      </c>
      <c r="N1625">
        <v>7.5988566434424157E-2</v>
      </c>
      <c r="O1625">
        <v>1.0612618108512722E-2</v>
      </c>
      <c r="P1625">
        <v>1.3849025458582166E-2</v>
      </c>
      <c r="Q1625">
        <v>4.595204398692377E-4</v>
      </c>
      <c r="R1625">
        <v>8.3103179832102125E-4</v>
      </c>
      <c r="S1625">
        <v>7.4352604885306289E-2</v>
      </c>
      <c r="T1625">
        <v>0.85108964288154321</v>
      </c>
      <c r="U1625">
        <v>0</v>
      </c>
      <c r="V1625">
        <v>9.2537068368049147E-2</v>
      </c>
      <c r="W1625">
        <v>5.0003656874192295E-2</v>
      </c>
      <c r="X1625">
        <v>7.2806073503911333E-3</v>
      </c>
      <c r="Y1625">
        <v>2.2617946054711287E-3</v>
      </c>
    </row>
    <row r="1626" spans="1:25" x14ac:dyDescent="0.25">
      <c r="A1626" s="1096"/>
      <c r="B1626" s="1455">
        <v>1376</v>
      </c>
      <c r="C1626" s="1100">
        <v>1.0233751469123238</v>
      </c>
      <c r="D1626" s="1100">
        <v>0.98086600988939543</v>
      </c>
      <c r="E1626" s="1100">
        <v>0.99195852702074838</v>
      </c>
      <c r="F1626" s="1100">
        <v>0.95923815539263002</v>
      </c>
      <c r="G1626" s="1100">
        <v>0.972787848078149</v>
      </c>
      <c r="H1626" s="1100">
        <v>0.98876178244379498</v>
      </c>
      <c r="I1626" s="1100">
        <v>0.974389606395341</v>
      </c>
      <c r="K1626">
        <v>1.105091257385405</v>
      </c>
      <c r="L1626">
        <v>0</v>
      </c>
      <c r="M1626">
        <v>7.9279404041876446E-4</v>
      </c>
      <c r="N1626">
        <v>7.1200898152183334E-2</v>
      </c>
      <c r="O1626">
        <v>1.0188733814515577E-2</v>
      </c>
      <c r="P1626">
        <v>1.2933438827008259E-2</v>
      </c>
      <c r="Q1626">
        <v>4.3885760965615842E-4</v>
      </c>
      <c r="R1626">
        <v>7.9101823947298408E-4</v>
      </c>
      <c r="S1626">
        <v>6.9621793498125029E-2</v>
      </c>
      <c r="T1626">
        <v>0.79440897494111162</v>
      </c>
      <c r="U1626">
        <v>0</v>
      </c>
      <c r="V1626">
        <v>9.0364945876175856E-2</v>
      </c>
      <c r="W1626">
        <v>4.6998952811903819E-2</v>
      </c>
      <c r="X1626">
        <v>6.7835467669191719E-3</v>
      </c>
      <c r="Y1626">
        <v>2.1528908887529013E-3</v>
      </c>
    </row>
    <row r="1627" spans="1:25" x14ac:dyDescent="0.25">
      <c r="A1627" s="1096"/>
      <c r="B1627" s="1455">
        <v>1377</v>
      </c>
      <c r="C1627" s="1100">
        <v>1.0263265284445131</v>
      </c>
      <c r="D1627" s="1100">
        <v>0.97605374162847114</v>
      </c>
      <c r="E1627" s="1100">
        <v>1.0425069655600618</v>
      </c>
      <c r="F1627" s="1100">
        <v>1.0021473480668683</v>
      </c>
      <c r="G1627" s="1100">
        <v>0.99157016785231955</v>
      </c>
      <c r="H1627" s="1100">
        <v>1.0058737823851647</v>
      </c>
      <c r="I1627" s="1100">
        <v>0.98807149575310582</v>
      </c>
      <c r="K1627">
        <v>1.1479373746067838</v>
      </c>
      <c r="L1627">
        <v>0</v>
      </c>
      <c r="M1627">
        <v>7.2536956750627192E-4</v>
      </c>
      <c r="N1627">
        <v>7.5882513673410507E-2</v>
      </c>
      <c r="O1627">
        <v>1.0195760004816064E-2</v>
      </c>
      <c r="P1627">
        <v>1.3910520392772236E-2</v>
      </c>
      <c r="Q1627">
        <v>4.6182954691312798E-4</v>
      </c>
      <c r="R1627">
        <v>7.237724332664967E-4</v>
      </c>
      <c r="S1627">
        <v>7.1309680151768889E-2</v>
      </c>
      <c r="T1627">
        <v>0.82661949286753245</v>
      </c>
      <c r="U1627">
        <v>0</v>
      </c>
      <c r="V1627">
        <v>9.1106406206765689E-2</v>
      </c>
      <c r="W1627">
        <v>4.8626358640049522E-2</v>
      </c>
      <c r="X1627">
        <v>7.8565402851616707E-3</v>
      </c>
      <c r="Y1627">
        <v>1.969869971832901E-3</v>
      </c>
    </row>
    <row r="1628" spans="1:25" x14ac:dyDescent="0.25">
      <c r="A1628" s="1096"/>
      <c r="B1628" s="1455">
        <v>1378</v>
      </c>
      <c r="C1628" s="1100">
        <v>0.96494436964593566</v>
      </c>
      <c r="D1628" s="1100">
        <v>0.98400627543582475</v>
      </c>
      <c r="E1628" s="1100">
        <v>1.0111441026114463</v>
      </c>
      <c r="F1628" s="1100">
        <v>1.0405843627047731</v>
      </c>
      <c r="G1628" s="1100">
        <v>0.9984259657470298</v>
      </c>
      <c r="H1628" s="1100">
        <v>1.0392484279505636</v>
      </c>
      <c r="I1628" s="1100">
        <v>1.0070068542173205</v>
      </c>
      <c r="K1628">
        <v>1.2005921112005278</v>
      </c>
      <c r="L1628">
        <v>0</v>
      </c>
      <c r="M1628">
        <v>8.4815998346638561E-4</v>
      </c>
      <c r="N1628">
        <v>8.0727352685718845E-2</v>
      </c>
      <c r="O1628">
        <v>1.0798441780053927E-2</v>
      </c>
      <c r="P1628">
        <v>1.4183216469511475E-2</v>
      </c>
      <c r="Q1628">
        <v>4.7416852672663037E-4</v>
      </c>
      <c r="R1628">
        <v>8.4635245985104708E-4</v>
      </c>
      <c r="S1628">
        <v>7.8365265919835156E-2</v>
      </c>
      <c r="T1628">
        <v>0.86045646274933807</v>
      </c>
      <c r="U1628">
        <v>0</v>
      </c>
      <c r="V1628">
        <v>9.2930602923599656E-2</v>
      </c>
      <c r="W1628">
        <v>5.2683816004176647E-2</v>
      </c>
      <c r="X1628">
        <v>7.6710992694809582E-3</v>
      </c>
      <c r="Y1628">
        <v>2.3034923957011427E-3</v>
      </c>
    </row>
    <row r="1629" spans="1:25" x14ac:dyDescent="0.25">
      <c r="A1629" s="1096"/>
      <c r="B1629" s="1455">
        <v>1379</v>
      </c>
      <c r="C1629" s="1100">
        <v>0.98315389311825307</v>
      </c>
      <c r="D1629" s="1100">
        <v>0.97902358328808536</v>
      </c>
      <c r="E1629" s="1100">
        <v>1.0099123151621598</v>
      </c>
      <c r="F1629" s="1100">
        <v>0.99188766821399299</v>
      </c>
      <c r="G1629" s="1100">
        <v>1.034267293144423</v>
      </c>
      <c r="H1629" s="1100">
        <v>0.99053770676082498</v>
      </c>
      <c r="I1629" s="1100">
        <v>1.0260282727189087</v>
      </c>
      <c r="K1629">
        <v>1.1499037983738838</v>
      </c>
      <c r="L1629">
        <v>0</v>
      </c>
      <c r="M1629">
        <v>7.9708299211856662E-4</v>
      </c>
      <c r="N1629">
        <v>7.5576345071297749E-2</v>
      </c>
      <c r="O1629">
        <v>1.0619567015176284E-2</v>
      </c>
      <c r="P1629">
        <v>1.3607094269049574E-2</v>
      </c>
      <c r="Q1629">
        <v>4.6574031585846918E-4</v>
      </c>
      <c r="R1629">
        <v>7.9530078527160087E-4</v>
      </c>
      <c r="S1629">
        <v>7.6482711682215085E-2</v>
      </c>
      <c r="T1629">
        <v>0.82026976648770511</v>
      </c>
      <c r="U1629">
        <v>0</v>
      </c>
      <c r="V1629">
        <v>9.398672510903254E-2</v>
      </c>
      <c r="W1629">
        <v>4.9358018888596623E-2</v>
      </c>
      <c r="X1629">
        <v>7.3750651751243431E-3</v>
      </c>
      <c r="Y1629">
        <v>2.1645465666758931E-3</v>
      </c>
    </row>
    <row r="1630" spans="1:25" x14ac:dyDescent="0.25">
      <c r="A1630" s="1096"/>
      <c r="B1630" s="1455">
        <v>1380</v>
      </c>
      <c r="C1630" s="1100">
        <v>0.97415084004367147</v>
      </c>
      <c r="D1630" s="1100">
        <v>0.98511326107446084</v>
      </c>
      <c r="E1630" s="1100">
        <v>0.99274971137635304</v>
      </c>
      <c r="F1630" s="1100">
        <v>1.0046339006075524</v>
      </c>
      <c r="G1630" s="1100">
        <v>1.0108715630949046</v>
      </c>
      <c r="H1630" s="1100">
        <v>1.0326670248238596</v>
      </c>
      <c r="I1630" s="1100">
        <v>1.0217781243841835</v>
      </c>
      <c r="K1630">
        <v>1.1673945282524656</v>
      </c>
      <c r="L1630">
        <v>0</v>
      </c>
      <c r="M1630">
        <v>8.6691233487503467E-4</v>
      </c>
      <c r="N1630">
        <v>7.8051350494612398E-2</v>
      </c>
      <c r="O1630">
        <v>1.0685359463330357E-2</v>
      </c>
      <c r="P1630">
        <v>1.3608115243921467E-2</v>
      </c>
      <c r="Q1630">
        <v>4.6061641046430183E-4</v>
      </c>
      <c r="R1630">
        <v>8.650530734840787E-4</v>
      </c>
      <c r="S1630">
        <v>7.8412167831759957E-2</v>
      </c>
      <c r="T1630">
        <v>0.83195139396243856</v>
      </c>
      <c r="U1630">
        <v>0</v>
      </c>
      <c r="V1630">
        <v>9.3216992131992762E-2</v>
      </c>
      <c r="W1630">
        <v>5.1496495244268428E-2</v>
      </c>
      <c r="X1630">
        <v>7.1595074297136838E-3</v>
      </c>
      <c r="Y1630">
        <v>2.3543893013546272E-3</v>
      </c>
    </row>
    <row r="1631" spans="1:25" x14ac:dyDescent="0.25">
      <c r="A1631" s="1096"/>
      <c r="B1631" s="1455">
        <v>1381</v>
      </c>
      <c r="C1631" s="1100">
        <v>1.0034117688725401</v>
      </c>
      <c r="D1631" s="1100">
        <v>0.96626643877303275</v>
      </c>
      <c r="E1631" s="1100">
        <v>0.9920584022958312</v>
      </c>
      <c r="F1631" s="1100">
        <v>0.98920985227269165</v>
      </c>
      <c r="G1631" s="1100">
        <v>0.97209045039005781</v>
      </c>
      <c r="H1631" s="1100">
        <v>1.0100147880318386</v>
      </c>
      <c r="I1631" s="1100">
        <v>0.97758419981355882</v>
      </c>
      <c r="K1631">
        <v>1.140048039220485</v>
      </c>
      <c r="L1631">
        <v>0</v>
      </c>
      <c r="M1631">
        <v>8.3074429441083438E-4</v>
      </c>
      <c r="N1631">
        <v>7.4635268678961114E-2</v>
      </c>
      <c r="O1631">
        <v>1.0453997158269732E-2</v>
      </c>
      <c r="P1631">
        <v>1.3317808765247253E-2</v>
      </c>
      <c r="Q1631">
        <v>4.5032866080772359E-4</v>
      </c>
      <c r="R1631">
        <v>8.289226432596419E-4</v>
      </c>
      <c r="S1631">
        <v>7.2645870933634712E-2</v>
      </c>
      <c r="T1631">
        <v>0.81922396596806013</v>
      </c>
      <c r="U1631">
        <v>0</v>
      </c>
      <c r="V1631">
        <v>9.0816885461269314E-2</v>
      </c>
      <c r="W1631">
        <v>4.9263001253143597E-2</v>
      </c>
      <c r="X1631">
        <v>6.9866798115655682E-3</v>
      </c>
      <c r="Y1631">
        <v>2.2560541806768333E-3</v>
      </c>
    </row>
    <row r="1632" spans="1:25" x14ac:dyDescent="0.25">
      <c r="A1632" s="1096"/>
      <c r="B1632" s="1455">
        <v>1382</v>
      </c>
      <c r="C1632" s="1100">
        <v>1.0152224173075854</v>
      </c>
      <c r="D1632" s="1100">
        <v>1.009488207195846</v>
      </c>
      <c r="E1632" s="1100">
        <v>0.95519611425613193</v>
      </c>
      <c r="F1632" s="1100">
        <v>0.98224126739934181</v>
      </c>
      <c r="G1632" s="1100">
        <v>1.0088621542256933</v>
      </c>
      <c r="H1632" s="1100">
        <v>1.029602244452289</v>
      </c>
      <c r="I1632" s="1100">
        <v>0.99975795098491282</v>
      </c>
      <c r="K1632">
        <v>1.1321437991224654</v>
      </c>
      <c r="L1632">
        <v>0</v>
      </c>
      <c r="M1632">
        <v>8.8755346188538629E-4</v>
      </c>
      <c r="N1632">
        <v>7.1322836362781888E-2</v>
      </c>
      <c r="O1632">
        <v>1.0141310691868693E-2</v>
      </c>
      <c r="P1632">
        <v>1.2918933381916584E-2</v>
      </c>
      <c r="Q1632">
        <v>4.2073769483708459E-4</v>
      </c>
      <c r="R1632">
        <v>8.8564426542925496E-4</v>
      </c>
      <c r="S1632">
        <v>7.2537934478703867E-2</v>
      </c>
      <c r="T1632">
        <v>0.81588087197711789</v>
      </c>
      <c r="U1632">
        <v>0</v>
      </c>
      <c r="V1632">
        <v>9.2097598763628774E-2</v>
      </c>
      <c r="W1632">
        <v>4.8141702927737631E-2</v>
      </c>
      <c r="X1632">
        <v>6.2733503023836203E-3</v>
      </c>
      <c r="Y1632">
        <v>2.4104317379447971E-3</v>
      </c>
    </row>
    <row r="1633" spans="1:25" x14ac:dyDescent="0.25">
      <c r="A1633" s="1096"/>
      <c r="B1633" s="1455">
        <v>1383</v>
      </c>
      <c r="C1633" s="1100">
        <v>0.98954526649918728</v>
      </c>
      <c r="D1633" s="1100">
        <v>0.97767102703931796</v>
      </c>
      <c r="E1633" s="1100">
        <v>0.99091396952026067</v>
      </c>
      <c r="F1633" s="1100">
        <v>0.99296141554231188</v>
      </c>
      <c r="G1633" s="1100">
        <v>1.0018991736436598</v>
      </c>
      <c r="H1633" s="1100">
        <v>1.0216232642364649</v>
      </c>
      <c r="I1633" s="1100">
        <v>1.0173802126702445</v>
      </c>
      <c r="K1633">
        <v>1.1516892014349642</v>
      </c>
      <c r="L1633">
        <v>0</v>
      </c>
      <c r="M1633">
        <v>8.5009056790421038E-4</v>
      </c>
      <c r="N1633">
        <v>7.6111490858917843E-2</v>
      </c>
      <c r="O1633">
        <v>1.0550471316001273E-2</v>
      </c>
      <c r="P1633">
        <v>1.3426210623748897E-2</v>
      </c>
      <c r="Q1633">
        <v>4.5395950534113968E-4</v>
      </c>
      <c r="R1633">
        <v>8.4824767540943573E-4</v>
      </c>
      <c r="S1633">
        <v>7.6690602319278114E-2</v>
      </c>
      <c r="T1633">
        <v>0.82240640722890868</v>
      </c>
      <c r="U1633">
        <v>0</v>
      </c>
      <c r="V1633">
        <v>9.2437349924924819E-2</v>
      </c>
      <c r="W1633">
        <v>5.0271794855666137E-2</v>
      </c>
      <c r="X1633">
        <v>7.0341071469764366E-3</v>
      </c>
      <c r="Y1633">
        <v>2.3086505476934364E-3</v>
      </c>
    </row>
    <row r="1634" spans="1:25" x14ac:dyDescent="0.25">
      <c r="A1634" s="1096"/>
      <c r="B1634" s="1455">
        <v>1384</v>
      </c>
      <c r="C1634" s="1100">
        <v>1.003304340799833</v>
      </c>
      <c r="D1634" s="1100">
        <v>0.98783962491031674</v>
      </c>
      <c r="E1634" s="1100">
        <v>0.99449745781722332</v>
      </c>
      <c r="F1634" s="1100">
        <v>0.98507296419794133</v>
      </c>
      <c r="G1634" s="1100">
        <v>1.014859168804022</v>
      </c>
      <c r="H1634" s="1100">
        <v>1.0173741517324577</v>
      </c>
      <c r="I1634" s="1100">
        <v>0.98801382137091942</v>
      </c>
      <c r="K1634">
        <v>1.1385001876537169</v>
      </c>
      <c r="L1634">
        <v>0</v>
      </c>
      <c r="M1634">
        <v>8.2534603536831236E-4</v>
      </c>
      <c r="N1634">
        <v>7.4700165739682092E-2</v>
      </c>
      <c r="O1634">
        <v>1.0363979121119424E-2</v>
      </c>
      <c r="P1634">
        <v>1.3321907574835994E-2</v>
      </c>
      <c r="Q1634">
        <v>4.4755093301301256E-4</v>
      </c>
      <c r="R1634">
        <v>8.2354931311020316E-4</v>
      </c>
      <c r="S1634">
        <v>7.2900297383614199E-2</v>
      </c>
      <c r="T1634">
        <v>0.81563837132527195</v>
      </c>
      <c r="U1634">
        <v>0</v>
      </c>
      <c r="V1634">
        <v>9.2648576144784389E-2</v>
      </c>
      <c r="W1634">
        <v>4.9234032522207795E-2</v>
      </c>
      <c r="X1634">
        <v>7.0056738841182921E-3</v>
      </c>
      <c r="Y1634">
        <v>2.2414297473278689E-3</v>
      </c>
    </row>
    <row r="1635" spans="1:25" x14ac:dyDescent="0.25">
      <c r="A1635" s="1096"/>
      <c r="B1635" s="1455">
        <v>1385</v>
      </c>
      <c r="C1635" s="1100">
        <v>0.95305912808526738</v>
      </c>
      <c r="D1635" s="1100">
        <v>1.004750974061664</v>
      </c>
      <c r="E1635" s="1100">
        <v>1.0179159215516713</v>
      </c>
      <c r="F1635" s="1100">
        <v>0.98442215801317123</v>
      </c>
      <c r="G1635" s="1100">
        <v>1.0042294769957714</v>
      </c>
      <c r="H1635" s="1100">
        <v>0.99073923376780293</v>
      </c>
      <c r="I1635" s="1100">
        <v>0.98799635469408087</v>
      </c>
      <c r="K1635">
        <v>1.1449644552827414</v>
      </c>
      <c r="L1635">
        <v>0</v>
      </c>
      <c r="M1635">
        <v>8.0050100460408817E-4</v>
      </c>
      <c r="N1635">
        <v>7.7756232617019291E-2</v>
      </c>
      <c r="O1635">
        <v>1.0844573321755552E-2</v>
      </c>
      <c r="P1635">
        <v>1.3567791164746178E-2</v>
      </c>
      <c r="Q1635">
        <v>4.7942057563819519E-4</v>
      </c>
      <c r="R1635">
        <v>7.9871151945904296E-4</v>
      </c>
      <c r="S1635">
        <v>7.4984951711177444E-2</v>
      </c>
      <c r="T1635">
        <v>0.81357787977010265</v>
      </c>
      <c r="U1635">
        <v>0</v>
      </c>
      <c r="V1635">
        <v>9.350022849486983E-2</v>
      </c>
      <c r="W1635">
        <v>5.0543310159987129E-2</v>
      </c>
      <c r="X1635">
        <v>7.5380274918042294E-3</v>
      </c>
      <c r="Y1635">
        <v>2.1738294607858873E-3</v>
      </c>
    </row>
    <row r="1636" spans="1:25" x14ac:dyDescent="0.25">
      <c r="A1636" s="1096"/>
      <c r="B1636" s="1455">
        <v>1386</v>
      </c>
      <c r="C1636" s="1100">
        <v>0.98569925859371965</v>
      </c>
      <c r="D1636" s="1100">
        <v>1.0087898958255708</v>
      </c>
      <c r="E1636" s="1100">
        <v>1.0327477242022256</v>
      </c>
      <c r="F1636" s="1100">
        <v>0.98791831035722388</v>
      </c>
      <c r="G1636" s="1100">
        <v>1.0247136506977541</v>
      </c>
      <c r="H1636" s="1100">
        <v>1.0193066575591951</v>
      </c>
      <c r="I1636" s="1100">
        <v>1.0275257158290574</v>
      </c>
      <c r="K1636">
        <v>1.1488218672529038</v>
      </c>
      <c r="L1636">
        <v>0</v>
      </c>
      <c r="M1636">
        <v>7.7085527180197956E-4</v>
      </c>
      <c r="N1636">
        <v>7.8306546696420801E-2</v>
      </c>
      <c r="O1636">
        <v>1.0473583487049206E-2</v>
      </c>
      <c r="P1636">
        <v>1.3763534482314594E-2</v>
      </c>
      <c r="Q1636">
        <v>4.6987725441792054E-4</v>
      </c>
      <c r="R1636">
        <v>7.6918035374773082E-4</v>
      </c>
      <c r="S1636">
        <v>7.6473460073239408E-2</v>
      </c>
      <c r="T1636">
        <v>0.81550923940694742</v>
      </c>
      <c r="U1636">
        <v>0</v>
      </c>
      <c r="V1636">
        <v>9.3516804674546664E-2</v>
      </c>
      <c r="W1636">
        <v>5.0463077204506143E-2</v>
      </c>
      <c r="X1636">
        <v>7.7539635288500332E-3</v>
      </c>
      <c r="Y1636">
        <v>2.0934553626658563E-3</v>
      </c>
    </row>
    <row r="1637" spans="1:25" x14ac:dyDescent="0.25">
      <c r="A1637" s="1096"/>
      <c r="B1637" s="1455">
        <v>1387</v>
      </c>
      <c r="C1637" s="1100">
        <v>0.99423871168722844</v>
      </c>
      <c r="D1637" s="1100">
        <v>0.98974243160661557</v>
      </c>
      <c r="E1637" s="1100">
        <v>0.99291913229285478</v>
      </c>
      <c r="F1637" s="1100">
        <v>0.99821538960120004</v>
      </c>
      <c r="G1637" s="1100">
        <v>0.99612545717261647</v>
      </c>
      <c r="H1637" s="1100">
        <v>0.99161762779105556</v>
      </c>
      <c r="I1637" s="1100">
        <v>0.9730168141287715</v>
      </c>
      <c r="K1637">
        <v>1.1452661394495947</v>
      </c>
      <c r="L1637">
        <v>0</v>
      </c>
      <c r="M1637">
        <v>8.1381893157976874E-4</v>
      </c>
      <c r="N1637">
        <v>7.3302164588333482E-2</v>
      </c>
      <c r="O1637">
        <v>1.0449911019807122E-2</v>
      </c>
      <c r="P1637">
        <v>1.3426166307540737E-2</v>
      </c>
      <c r="Q1637">
        <v>4.5054390218058726E-4</v>
      </c>
      <c r="R1637">
        <v>8.1200128632154017E-4</v>
      </c>
      <c r="S1637">
        <v>7.1345490458782565E-2</v>
      </c>
      <c r="T1637">
        <v>0.82662489947060191</v>
      </c>
      <c r="U1637">
        <v>0</v>
      </c>
      <c r="V1637">
        <v>9.2072557081574302E-2</v>
      </c>
      <c r="W1637">
        <v>4.8358193746856966E-2</v>
      </c>
      <c r="X1637">
        <v>7.0280306939610416E-3</v>
      </c>
      <c r="Y1637">
        <v>2.2099998252151361E-3</v>
      </c>
    </row>
    <row r="1638" spans="1:25" x14ac:dyDescent="0.25">
      <c r="A1638" s="1096"/>
      <c r="B1638" s="1455">
        <v>1388</v>
      </c>
      <c r="C1638" s="1100">
        <v>1.0136893941825607</v>
      </c>
      <c r="D1638" s="1100">
        <v>1.0337988898612736</v>
      </c>
      <c r="E1638" s="1100">
        <v>1.0168253223499153</v>
      </c>
      <c r="F1638" s="1100">
        <v>0.98951655231574498</v>
      </c>
      <c r="G1638" s="1100">
        <v>0.95387200450291076</v>
      </c>
      <c r="H1638" s="1100">
        <v>0.97301129015971721</v>
      </c>
      <c r="I1638" s="1100">
        <v>1.0143753638131006</v>
      </c>
      <c r="K1638">
        <v>1.1286026897453461</v>
      </c>
      <c r="L1638">
        <v>0</v>
      </c>
      <c r="M1638">
        <v>7.3243550365176811E-4</v>
      </c>
      <c r="N1638">
        <v>7.0908098563361055E-2</v>
      </c>
      <c r="O1638">
        <v>1.0080019007174359E-2</v>
      </c>
      <c r="P1638">
        <v>1.350441962868025E-2</v>
      </c>
      <c r="Q1638">
        <v>4.4513731392924985E-4</v>
      </c>
      <c r="R1638">
        <v>7.3076834440245243E-4</v>
      </c>
      <c r="S1638">
        <v>7.0617234472059268E-2</v>
      </c>
      <c r="T1638">
        <v>0.81785899175115928</v>
      </c>
      <c r="U1638">
        <v>0</v>
      </c>
      <c r="V1638">
        <v>8.9791897800038434E-2</v>
      </c>
      <c r="W1638">
        <v>4.6121347719767926E-2</v>
      </c>
      <c r="X1638">
        <v>7.2883001126822847E-3</v>
      </c>
      <c r="Y1638">
        <v>1.9889105357434856E-3</v>
      </c>
    </row>
    <row r="1639" spans="1:25" x14ac:dyDescent="0.25">
      <c r="A1639" s="1096"/>
      <c r="B1639" s="1455">
        <v>1389</v>
      </c>
      <c r="C1639" s="1100">
        <v>0.99194113148070728</v>
      </c>
      <c r="D1639" s="1100">
        <v>0.97585918028201435</v>
      </c>
      <c r="E1639" s="1100">
        <v>0.98574813865040301</v>
      </c>
      <c r="F1639" s="1100">
        <v>1.0238885134762068</v>
      </c>
      <c r="G1639" s="1100">
        <v>1.0037713041971286</v>
      </c>
      <c r="H1639" s="1100">
        <v>1.0190020954373746</v>
      </c>
      <c r="I1639" s="1100">
        <v>0.97504477220870645</v>
      </c>
      <c r="K1639">
        <v>1.1735158502280483</v>
      </c>
      <c r="L1639">
        <v>0</v>
      </c>
      <c r="M1639">
        <v>8.5559197487121788E-4</v>
      </c>
      <c r="N1639">
        <v>7.5416334474307775E-2</v>
      </c>
      <c r="O1639">
        <v>1.0531082601038078E-2</v>
      </c>
      <c r="P1639">
        <v>1.3678348329206202E-2</v>
      </c>
      <c r="Q1639">
        <v>4.507632746006189E-4</v>
      </c>
      <c r="R1639">
        <v>8.5373238486639619E-4</v>
      </c>
      <c r="S1639">
        <v>7.3279633351276352E-2</v>
      </c>
      <c r="T1639">
        <v>0.84837351435130737</v>
      </c>
      <c r="U1639">
        <v>0</v>
      </c>
      <c r="V1639">
        <v>9.2456190811583489E-2</v>
      </c>
      <c r="W1639">
        <v>4.9967238414201996E-2</v>
      </c>
      <c r="X1639">
        <v>7.0410260917291535E-3</v>
      </c>
      <c r="Y1639">
        <v>2.3235781188012958E-3</v>
      </c>
    </row>
    <row r="1640" spans="1:25" x14ac:dyDescent="0.25">
      <c r="A1640" s="1096"/>
      <c r="B1640" s="1455">
        <v>1390</v>
      </c>
      <c r="C1640" s="1100">
        <v>0.96799736323331154</v>
      </c>
      <c r="D1640" s="1100">
        <v>1.032763925406158</v>
      </c>
      <c r="E1640" s="1100">
        <v>0.97013124372893322</v>
      </c>
      <c r="F1640" s="1100">
        <v>0.99072044365103007</v>
      </c>
      <c r="G1640" s="1100">
        <v>0.97858797850852952</v>
      </c>
      <c r="H1640" s="1100">
        <v>0.98876879730093392</v>
      </c>
      <c r="I1640" s="1100">
        <v>1.0057852438796913</v>
      </c>
      <c r="K1640">
        <v>1.1415230220225006</v>
      </c>
      <c r="L1640">
        <v>0</v>
      </c>
      <c r="M1640">
        <v>8.5895872673320156E-4</v>
      </c>
      <c r="N1640">
        <v>7.2213425478548671E-2</v>
      </c>
      <c r="O1640">
        <v>1.0544483238603873E-2</v>
      </c>
      <c r="P1640">
        <v>1.3167104727690606E-2</v>
      </c>
      <c r="Q1640">
        <v>4.4422123776167028E-4</v>
      </c>
      <c r="R1640">
        <v>8.5703473535590281E-4</v>
      </c>
      <c r="S1640">
        <v>7.3964166484919699E-2</v>
      </c>
      <c r="T1640">
        <v>0.82192647982572653</v>
      </c>
      <c r="U1640">
        <v>0</v>
      </c>
      <c r="V1640">
        <v>9.1994656938486297E-2</v>
      </c>
      <c r="W1640">
        <v>4.8299199332742987E-2</v>
      </c>
      <c r="X1640">
        <v>6.6386427211817724E-3</v>
      </c>
      <c r="Y1640">
        <v>2.3325660282141865E-3</v>
      </c>
    </row>
    <row r="1641" spans="1:25" x14ac:dyDescent="0.25">
      <c r="A1641" s="1096"/>
      <c r="B1641" s="1455">
        <v>1391</v>
      </c>
      <c r="C1641" s="1100">
        <v>1.0213513596688879</v>
      </c>
      <c r="D1641" s="1100">
        <v>1.0357091715229585</v>
      </c>
      <c r="E1641" s="1100">
        <v>0.98484771746201516</v>
      </c>
      <c r="F1641" s="1100">
        <v>0.99293432246470437</v>
      </c>
      <c r="G1641" s="1100">
        <v>1.0078108028980526</v>
      </c>
      <c r="H1641" s="1100">
        <v>1.0069990285328654</v>
      </c>
      <c r="I1641" s="1100">
        <v>0.98840843206000562</v>
      </c>
      <c r="K1641">
        <v>1.1342590009099793</v>
      </c>
      <c r="L1641">
        <v>0</v>
      </c>
      <c r="M1641">
        <v>8.0334190440243148E-4</v>
      </c>
      <c r="N1641">
        <v>7.0616330498383062E-2</v>
      </c>
      <c r="O1641">
        <v>9.9869099730627714E-3</v>
      </c>
      <c r="P1641">
        <v>1.3265986103929107E-2</v>
      </c>
      <c r="Q1641">
        <v>4.2708109718047113E-4</v>
      </c>
      <c r="R1641">
        <v>8.0157506552133565E-4</v>
      </c>
      <c r="S1641">
        <v>6.9512515776764705E-2</v>
      </c>
      <c r="T1641">
        <v>0.82278510815744166</v>
      </c>
      <c r="U1641">
        <v>0</v>
      </c>
      <c r="V1641">
        <v>9.1909552099512279E-2</v>
      </c>
      <c r="W1641">
        <v>4.6812324670515146E-2</v>
      </c>
      <c r="X1641">
        <v>6.7633362828696825E-3</v>
      </c>
      <c r="Y1641">
        <v>2.1816230891997424E-3</v>
      </c>
    </row>
    <row r="1642" spans="1:25" x14ac:dyDescent="0.25">
      <c r="A1642" s="1096"/>
      <c r="B1642" s="1455">
        <v>1392</v>
      </c>
      <c r="C1642" s="1100">
        <v>0.99507117448116778</v>
      </c>
      <c r="D1642" s="1100">
        <v>1.0356589474187203</v>
      </c>
      <c r="E1642" s="1100">
        <v>1.0391300695759211</v>
      </c>
      <c r="F1642" s="1100">
        <v>1.0275665045412636</v>
      </c>
      <c r="G1642" s="1100">
        <v>0.99359949181244689</v>
      </c>
      <c r="H1642" s="1100">
        <v>1.0005067084108374</v>
      </c>
      <c r="I1642" s="1100">
        <v>0.98704918786911111</v>
      </c>
      <c r="K1642">
        <v>1.1700815487642418</v>
      </c>
      <c r="L1642">
        <v>0</v>
      </c>
      <c r="M1642">
        <v>7.3186491201262822E-4</v>
      </c>
      <c r="N1642">
        <v>7.5786280247304549E-2</v>
      </c>
      <c r="O1642">
        <v>1.0268504526791834E-2</v>
      </c>
      <c r="P1642">
        <v>1.4182315398610319E-2</v>
      </c>
      <c r="Q1642">
        <v>4.6358341859795144E-4</v>
      </c>
      <c r="R1642">
        <v>7.3024483186914194E-4</v>
      </c>
      <c r="S1642">
        <v>7.1055997188077355E-2</v>
      </c>
      <c r="T1642">
        <v>0.84781157824852738</v>
      </c>
      <c r="U1642">
        <v>0</v>
      </c>
      <c r="V1642">
        <v>9.1951467466228481E-2</v>
      </c>
      <c r="W1642">
        <v>4.8659176027525251E-2</v>
      </c>
      <c r="X1642">
        <v>7.9167806155172292E-3</v>
      </c>
      <c r="Y1642">
        <v>1.9874857072036743E-3</v>
      </c>
    </row>
    <row r="1643" spans="1:25" x14ac:dyDescent="0.25">
      <c r="A1643" s="1096"/>
      <c r="B1643" s="1455">
        <v>1393</v>
      </c>
      <c r="C1643" s="1100">
        <v>1.0215853690747412</v>
      </c>
      <c r="D1643" s="1100">
        <v>1.002644844147804</v>
      </c>
      <c r="E1643" s="1100">
        <v>1.0148365359853311</v>
      </c>
      <c r="F1643" s="1100">
        <v>1.0050563943841062</v>
      </c>
      <c r="G1643" s="1100">
        <v>1.0274170000853589</v>
      </c>
      <c r="H1643" s="1100">
        <v>0.98812249698381849</v>
      </c>
      <c r="I1643" s="1100">
        <v>1.0001994363025255</v>
      </c>
      <c r="K1643">
        <v>1.1472513394439019</v>
      </c>
      <c r="L1643">
        <v>0</v>
      </c>
      <c r="M1643">
        <v>7.5024668211619001E-4</v>
      </c>
      <c r="N1643">
        <v>7.2200339012422038E-2</v>
      </c>
      <c r="O1643">
        <v>1.0124644794971662E-2</v>
      </c>
      <c r="P1643">
        <v>1.3706582257446634E-2</v>
      </c>
      <c r="Q1643">
        <v>4.4622285505446844E-4</v>
      </c>
      <c r="R1643">
        <v>7.4856509692462477E-4</v>
      </c>
      <c r="S1643">
        <v>7.0787850911175315E-2</v>
      </c>
      <c r="T1643">
        <v>0.83083434878587659</v>
      </c>
      <c r="U1643">
        <v>0</v>
      </c>
      <c r="V1643">
        <v>9.2746106982376925E-2</v>
      </c>
      <c r="W1643">
        <v>4.701672427062227E-2</v>
      </c>
      <c r="X1643">
        <v>7.3528537297343271E-3</v>
      </c>
      <c r="Y1643">
        <v>2.0373474294109466E-3</v>
      </c>
    </row>
    <row r="1644" spans="1:25" x14ac:dyDescent="0.25">
      <c r="A1644" s="1096"/>
      <c r="B1644" s="1455">
        <v>1394</v>
      </c>
      <c r="C1644" s="1100">
        <v>0.95943840192222529</v>
      </c>
      <c r="D1644" s="1100">
        <v>0.99661815306554091</v>
      </c>
      <c r="E1644" s="1100">
        <v>1.0075895355337243</v>
      </c>
      <c r="F1644" s="1100">
        <v>1.0357087758782171</v>
      </c>
      <c r="G1644" s="1100">
        <v>0.96504257312233888</v>
      </c>
      <c r="H1644" s="1100">
        <v>0.98480755033037626</v>
      </c>
      <c r="I1644" s="1100">
        <v>0.96760049070546594</v>
      </c>
      <c r="K1644">
        <v>1.1824826072886356</v>
      </c>
      <c r="L1644">
        <v>0</v>
      </c>
      <c r="M1644">
        <v>8.1019465604441072E-4</v>
      </c>
      <c r="N1644">
        <v>7.6281688826861094E-2</v>
      </c>
      <c r="O1644">
        <v>1.0804011123504953E-2</v>
      </c>
      <c r="P1644">
        <v>1.4002764396373166E-2</v>
      </c>
      <c r="Q1644">
        <v>4.727297610076225E-4</v>
      </c>
      <c r="R1644">
        <v>8.0837259223280416E-4</v>
      </c>
      <c r="S1644">
        <v>7.2998073904151306E-2</v>
      </c>
      <c r="T1644">
        <v>0.85666746823215079</v>
      </c>
      <c r="U1644">
        <v>0</v>
      </c>
      <c r="V1644">
        <v>9.1650312526559238E-2</v>
      </c>
      <c r="W1644">
        <v>4.9887020639901858E-2</v>
      </c>
      <c r="X1644">
        <v>7.5202362258335667E-3</v>
      </c>
      <c r="Y1644">
        <v>2.2001237161042818E-3</v>
      </c>
    </row>
    <row r="1645" spans="1:25" x14ac:dyDescent="0.25">
      <c r="A1645" s="1096"/>
      <c r="B1645" s="1455">
        <v>1395</v>
      </c>
      <c r="C1645" s="1100">
        <v>1.008321284531341</v>
      </c>
      <c r="D1645" s="1100">
        <v>0.99334687264854316</v>
      </c>
      <c r="E1645" s="1100">
        <v>0.99580138439084664</v>
      </c>
      <c r="F1645" s="1100">
        <v>1.0155494846311823</v>
      </c>
      <c r="G1645" s="1100">
        <v>1.0112875400490753</v>
      </c>
      <c r="H1645" s="1100">
        <v>1.020586309297304</v>
      </c>
      <c r="I1645" s="1100">
        <v>1.0340930534857009</v>
      </c>
      <c r="K1645">
        <v>1.1663629250740506</v>
      </c>
      <c r="L1645">
        <v>0</v>
      </c>
      <c r="M1645">
        <v>8.1978374421382027E-4</v>
      </c>
      <c r="N1645">
        <v>7.4490221978120594E-2</v>
      </c>
      <c r="O1645">
        <v>1.0289929272826639E-2</v>
      </c>
      <c r="P1645">
        <v>1.3712892426312731E-2</v>
      </c>
      <c r="Q1645">
        <v>4.4493757079104302E-4</v>
      </c>
      <c r="R1645">
        <v>8.1800474751578473E-4</v>
      </c>
      <c r="S1645">
        <v>7.584055629929698E-2</v>
      </c>
      <c r="T1645">
        <v>0.84078499056471001</v>
      </c>
      <c r="U1645">
        <v>0</v>
      </c>
      <c r="V1645">
        <v>9.2373149235424168E-2</v>
      </c>
      <c r="W1645">
        <v>4.9057481484057669E-2</v>
      </c>
      <c r="X1645">
        <v>7.1442059716629357E-3</v>
      </c>
      <c r="Y1645">
        <v>2.2263392675454189E-3</v>
      </c>
    </row>
    <row r="1646" spans="1:25" x14ac:dyDescent="0.25">
      <c r="A1646" s="1096"/>
      <c r="B1646" s="1455">
        <v>1396</v>
      </c>
      <c r="C1646" s="1100">
        <v>0.97356945126335537</v>
      </c>
      <c r="D1646" s="1100">
        <v>1.0234272339047696</v>
      </c>
      <c r="E1646" s="1100">
        <v>0.9976524369478299</v>
      </c>
      <c r="F1646" s="1100">
        <v>0.97273519496278582</v>
      </c>
      <c r="G1646" s="1100">
        <v>1.0061989688466022</v>
      </c>
      <c r="H1646" s="1100">
        <v>1.0351863432748092</v>
      </c>
      <c r="I1646" s="1100">
        <v>0.99148308051380085</v>
      </c>
      <c r="K1646">
        <v>1.1350476054852499</v>
      </c>
      <c r="L1646">
        <v>0</v>
      </c>
      <c r="M1646">
        <v>8.4771718704123743E-4</v>
      </c>
      <c r="N1646">
        <v>7.7462876543188258E-2</v>
      </c>
      <c r="O1646">
        <v>1.0531430918801597E-2</v>
      </c>
      <c r="P1646">
        <v>1.3242402735475677E-2</v>
      </c>
      <c r="Q1646">
        <v>4.5622975303650425E-4</v>
      </c>
      <c r="R1646">
        <v>8.4590351803122822E-4</v>
      </c>
      <c r="S1646">
        <v>7.4771463954645234E-2</v>
      </c>
      <c r="T1646">
        <v>0.8052191541960253</v>
      </c>
      <c r="U1646">
        <v>0</v>
      </c>
      <c r="V1646">
        <v>9.3033139019177757E-2</v>
      </c>
      <c r="W1646">
        <v>5.0958961447440186E-2</v>
      </c>
      <c r="X1646">
        <v>7.0714900624073689E-3</v>
      </c>
      <c r="Y1646">
        <v>2.3022705240612266E-3</v>
      </c>
    </row>
    <row r="1647" spans="1:25" x14ac:dyDescent="0.25">
      <c r="A1647" s="1096"/>
      <c r="B1647" s="1455">
        <v>1397</v>
      </c>
      <c r="C1647" s="1100">
        <v>1.0005128239069432</v>
      </c>
      <c r="D1647" s="1100">
        <v>0.9970444267102585</v>
      </c>
      <c r="E1647" s="1100">
        <v>0.98403052993623363</v>
      </c>
      <c r="F1647" s="1100">
        <v>1.0160644567992112</v>
      </c>
      <c r="G1647" s="1100">
        <v>1.0318996811945742</v>
      </c>
      <c r="H1647" s="1100">
        <v>1.0100764354669258</v>
      </c>
      <c r="I1647" s="1100">
        <v>1.0061090378580604</v>
      </c>
      <c r="K1647">
        <v>1.1648482498822077</v>
      </c>
      <c r="L1647">
        <v>0</v>
      </c>
      <c r="M1647">
        <v>8.3660763123637042E-4</v>
      </c>
      <c r="N1647">
        <v>7.335943986237238E-2</v>
      </c>
      <c r="O1647">
        <v>1.0350987165739364E-2</v>
      </c>
      <c r="P1647">
        <v>1.3594877971994355E-2</v>
      </c>
      <c r="Q1647">
        <v>4.4228392459773E-4</v>
      </c>
      <c r="R1647">
        <v>8.347732349595603E-4</v>
      </c>
      <c r="S1647">
        <v>7.3778268830394483E-2</v>
      </c>
      <c r="T1647">
        <v>0.84200705199826142</v>
      </c>
      <c r="U1647">
        <v>0</v>
      </c>
      <c r="V1647">
        <v>9.344483353701688E-2</v>
      </c>
      <c r="W1647">
        <v>4.8654679203530914E-2</v>
      </c>
      <c r="X1647">
        <v>6.94568422193998E-3</v>
      </c>
      <c r="Y1647">
        <v>2.2719775626369766E-3</v>
      </c>
    </row>
    <row r="1648" spans="1:25" x14ac:dyDescent="0.25">
      <c r="A1648" s="1096"/>
      <c r="B1648" s="1455">
        <v>1398</v>
      </c>
      <c r="C1648" s="1100">
        <v>0.98659667965266939</v>
      </c>
      <c r="D1648" s="1100">
        <v>1.0301107233152198</v>
      </c>
      <c r="E1648" s="1100">
        <v>0.98867874623432594</v>
      </c>
      <c r="F1648" s="1100">
        <v>0.98204547464696601</v>
      </c>
      <c r="G1648" s="1100">
        <v>0.97595251277232475</v>
      </c>
      <c r="H1648" s="1100">
        <v>1.0161830293167025</v>
      </c>
      <c r="I1648" s="1100">
        <v>1.0119156081177902</v>
      </c>
      <c r="K1648">
        <v>1.1356541846845054</v>
      </c>
      <c r="L1648">
        <v>0</v>
      </c>
      <c r="M1648">
        <v>8.3440390029848512E-4</v>
      </c>
      <c r="N1648">
        <v>7.4202967815621801E-2</v>
      </c>
      <c r="O1648">
        <v>1.0362409523185909E-2</v>
      </c>
      <c r="P1648">
        <v>1.3236508892403975E-2</v>
      </c>
      <c r="Q1648">
        <v>4.4486137307641775E-4</v>
      </c>
      <c r="R1648">
        <v>8.3258533053658676E-4</v>
      </c>
      <c r="S1648">
        <v>7.4260600804335927E-2</v>
      </c>
      <c r="T1648">
        <v>0.81351148247805083</v>
      </c>
      <c r="U1648">
        <v>0</v>
      </c>
      <c r="V1648">
        <v>9.140236879054589E-2</v>
      </c>
      <c r="W1648">
        <v>4.9076893765975273E-2</v>
      </c>
      <c r="X1648">
        <v>6.8918870030319707E-3</v>
      </c>
      <c r="Y1648">
        <v>2.2660228080401412E-3</v>
      </c>
    </row>
    <row r="1649" spans="1:25" x14ac:dyDescent="0.25">
      <c r="A1649" s="1096"/>
      <c r="B1649" s="1455">
        <v>1399</v>
      </c>
      <c r="C1649" s="1100">
        <v>0.99104596058679073</v>
      </c>
      <c r="D1649" s="1100">
        <v>1.0017669167960852</v>
      </c>
      <c r="E1649" s="1100">
        <v>0.9695664441473657</v>
      </c>
      <c r="F1649" s="1100">
        <v>1.0254340884720679</v>
      </c>
      <c r="G1649" s="1100">
        <v>1.0345058547125581</v>
      </c>
      <c r="H1649" s="1100">
        <v>0.99861345659642475</v>
      </c>
      <c r="I1649" s="1100">
        <v>0.99401539638155567</v>
      </c>
      <c r="K1649">
        <v>1.171268181029798</v>
      </c>
      <c r="L1649">
        <v>0</v>
      </c>
      <c r="M1649">
        <v>8.5872768402498259E-4</v>
      </c>
      <c r="N1649">
        <v>7.2072238133998864E-2</v>
      </c>
      <c r="O1649">
        <v>1.04253754093222E-2</v>
      </c>
      <c r="P1649">
        <v>1.3555625101577755E-2</v>
      </c>
      <c r="Q1649">
        <v>4.3894993994070524E-4</v>
      </c>
      <c r="R1649">
        <v>8.5682317239966284E-4</v>
      </c>
      <c r="S1649">
        <v>7.292540233110259E-2</v>
      </c>
      <c r="T1649">
        <v>0.85076469690111389</v>
      </c>
      <c r="U1649">
        <v>0</v>
      </c>
      <c r="V1649">
        <v>9.3791223367236096E-2</v>
      </c>
      <c r="W1649">
        <v>4.8221343151608753E-2</v>
      </c>
      <c r="X1649">
        <v>6.7432409819333074E-3</v>
      </c>
      <c r="Y1649">
        <v>2.331990223589011E-3</v>
      </c>
    </row>
    <row r="1650" spans="1:25" x14ac:dyDescent="0.25">
      <c r="A1650" s="1096"/>
      <c r="B1650" s="1455">
        <v>1400</v>
      </c>
      <c r="C1650" s="1100">
        <v>1.0309739143265109</v>
      </c>
      <c r="D1650" s="1100">
        <v>1.0157884248015112</v>
      </c>
      <c r="E1650" s="1100">
        <v>0.98276944772006858</v>
      </c>
      <c r="F1650" s="1100">
        <v>0.98919113847569329</v>
      </c>
      <c r="G1650" s="1100">
        <v>1.0007211868673616</v>
      </c>
      <c r="H1650" s="1100">
        <v>0.99872666122970255</v>
      </c>
      <c r="I1650" s="1100">
        <v>0.99018463059231787</v>
      </c>
      <c r="K1650">
        <v>1.1291202112822369</v>
      </c>
      <c r="L1650">
        <v>0</v>
      </c>
      <c r="M1650">
        <v>7.9888967667629865E-4</v>
      </c>
      <c r="N1650">
        <v>6.9783615422671405E-2</v>
      </c>
      <c r="O1650">
        <v>9.9702022718348403E-3</v>
      </c>
      <c r="P1650">
        <v>1.3195944223671223E-2</v>
      </c>
      <c r="Q1650">
        <v>4.2546882461507064E-4</v>
      </c>
      <c r="R1650">
        <v>7.9711807638317581E-4</v>
      </c>
      <c r="S1650">
        <v>6.9353723169927051E-2</v>
      </c>
      <c r="T1650">
        <v>0.8198205377635811</v>
      </c>
      <c r="U1650">
        <v>0</v>
      </c>
      <c r="V1650">
        <v>9.1379701035816191E-2</v>
      </c>
      <c r="W1650">
        <v>4.6318222626743948E-2</v>
      </c>
      <c r="X1650">
        <v>6.7050749096573374E-3</v>
      </c>
      <c r="Y1650">
        <v>2.1694926340117462E-3</v>
      </c>
    </row>
    <row r="1651" spans="1:25" x14ac:dyDescent="0.25">
      <c r="A1651" s="1096"/>
      <c r="B1651" s="1455">
        <v>1401</v>
      </c>
      <c r="C1651" s="1100">
        <v>1.0071811991996733</v>
      </c>
      <c r="D1651" s="1100">
        <v>0.99799675489478845</v>
      </c>
      <c r="E1651" s="1100">
        <v>1.0100733527306631</v>
      </c>
      <c r="F1651" s="1100">
        <v>1.0054018842507062</v>
      </c>
      <c r="G1651" s="1100">
        <v>0.98206734196351886</v>
      </c>
      <c r="H1651" s="1100">
        <v>1.0221941458496655</v>
      </c>
      <c r="I1651" s="1100">
        <v>0.96516038952362959</v>
      </c>
      <c r="K1651">
        <v>1.1521472017927501</v>
      </c>
      <c r="L1651">
        <v>0</v>
      </c>
      <c r="M1651">
        <v>7.9652631129574654E-4</v>
      </c>
      <c r="N1651">
        <v>7.5565532964860738E-2</v>
      </c>
      <c r="O1651">
        <v>1.0286994961944566E-2</v>
      </c>
      <c r="P1651">
        <v>1.3644636771317472E-2</v>
      </c>
      <c r="Q1651">
        <v>4.5122739979749156E-4</v>
      </c>
      <c r="R1651">
        <v>7.9480050394396839E-4</v>
      </c>
      <c r="S1651">
        <v>7.0774875069275156E-2</v>
      </c>
      <c r="T1651">
        <v>0.83143506583721727</v>
      </c>
      <c r="U1651">
        <v>0</v>
      </c>
      <c r="V1651">
        <v>9.1153920039960035E-2</v>
      </c>
      <c r="W1651">
        <v>4.9346271458232532E-2</v>
      </c>
      <c r="X1651">
        <v>7.3272181316752037E-3</v>
      </c>
      <c r="Y1651">
        <v>2.163184965819773E-3</v>
      </c>
    </row>
    <row r="1652" spans="1:25" x14ac:dyDescent="0.25">
      <c r="A1652" s="1096"/>
      <c r="B1652" s="1455">
        <v>1402</v>
      </c>
      <c r="C1652" s="1100">
        <v>0.97552205333349895</v>
      </c>
      <c r="D1652" s="1100">
        <v>0.97999152491900265</v>
      </c>
      <c r="E1652" s="1100">
        <v>0.99379871481498205</v>
      </c>
      <c r="F1652" s="1100">
        <v>1.0005819931508737</v>
      </c>
      <c r="G1652" s="1100">
        <v>1.0222168132045608</v>
      </c>
      <c r="H1652" s="1100">
        <v>0.97364112739164876</v>
      </c>
      <c r="I1652" s="1100">
        <v>1.0284580384276585</v>
      </c>
      <c r="K1652">
        <v>1.1550206199302036</v>
      </c>
      <c r="L1652">
        <v>0</v>
      </c>
      <c r="M1652">
        <v>8.1613955137345038E-4</v>
      </c>
      <c r="N1652">
        <v>7.3703845428735829E-2</v>
      </c>
      <c r="O1652">
        <v>1.0692966052481313E-2</v>
      </c>
      <c r="P1652">
        <v>1.3552145836034847E-2</v>
      </c>
      <c r="Q1652">
        <v>4.6143241859911756E-4</v>
      </c>
      <c r="R1652">
        <v>8.1428306787944779E-4</v>
      </c>
      <c r="S1652">
        <v>7.6473734052572226E-2</v>
      </c>
      <c r="T1652">
        <v>0.82852623465433473</v>
      </c>
      <c r="U1652">
        <v>0</v>
      </c>
      <c r="V1652">
        <v>9.3666482655499747E-2</v>
      </c>
      <c r="W1652">
        <v>4.8597640719378256E-2</v>
      </c>
      <c r="X1652">
        <v>7.1317845136331078E-3</v>
      </c>
      <c r="Y1652">
        <v>2.2162100824266715E-3</v>
      </c>
    </row>
    <row r="1653" spans="1:25" x14ac:dyDescent="0.25">
      <c r="A1653" s="1096"/>
      <c r="B1653" s="1455">
        <v>1403</v>
      </c>
      <c r="C1653" s="1100">
        <v>1.0253181076654079</v>
      </c>
      <c r="D1653" s="1100">
        <v>0.98985912336163839</v>
      </c>
      <c r="E1653" s="1100">
        <v>0.98403205507597014</v>
      </c>
      <c r="F1653" s="1100">
        <v>1.0104790467132525</v>
      </c>
      <c r="G1653" s="1100">
        <v>1.0310507412549275</v>
      </c>
      <c r="H1653" s="1100">
        <v>0.97718889520404029</v>
      </c>
      <c r="I1653" s="1100">
        <v>1.0465638084443853</v>
      </c>
      <c r="K1653">
        <v>1.1525942104657156</v>
      </c>
      <c r="L1653">
        <v>0</v>
      </c>
      <c r="M1653">
        <v>7.9207301027101691E-4</v>
      </c>
      <c r="N1653">
        <v>6.9449525558562791E-2</v>
      </c>
      <c r="O1653">
        <v>1.0129832662289721E-2</v>
      </c>
      <c r="P1653">
        <v>1.3524219003390368E-2</v>
      </c>
      <c r="Q1653">
        <v>4.3283495604655784E-4</v>
      </c>
      <c r="R1653">
        <v>7.9027781262569453E-4</v>
      </c>
      <c r="S1653">
        <v>7.3795540221622963E-2</v>
      </c>
      <c r="T1653">
        <v>0.8373783504161163</v>
      </c>
      <c r="U1653">
        <v>0</v>
      </c>
      <c r="V1653">
        <v>9.2809424604137908E-2</v>
      </c>
      <c r="W1653">
        <v>4.6061437919113345E-2</v>
      </c>
      <c r="X1653">
        <v>6.8639646311230706E-3</v>
      </c>
      <c r="Y1653">
        <v>2.1508756909562237E-3</v>
      </c>
    </row>
    <row r="1654" spans="1:25" x14ac:dyDescent="0.25">
      <c r="A1654" s="1096"/>
      <c r="B1654" s="1455">
        <v>1404</v>
      </c>
      <c r="C1654" s="1100">
        <v>0.99457656103319847</v>
      </c>
      <c r="D1654" s="1100">
        <v>1.0344266740671153</v>
      </c>
      <c r="E1654" s="1100">
        <v>0.99141992625564834</v>
      </c>
      <c r="F1654" s="1100">
        <v>0.99401892032976313</v>
      </c>
      <c r="G1654" s="1100">
        <v>1.0280671350490194</v>
      </c>
      <c r="H1654" s="1100">
        <v>1.0002635119146859</v>
      </c>
      <c r="I1654" s="1100">
        <v>0.98414939020818282</v>
      </c>
      <c r="K1654">
        <v>1.1411725631210166</v>
      </c>
      <c r="L1654">
        <v>0</v>
      </c>
      <c r="M1654">
        <v>8.0877616098784728E-4</v>
      </c>
      <c r="N1654">
        <v>7.2519953930074557E-2</v>
      </c>
      <c r="O1654">
        <v>1.0262979509645389E-2</v>
      </c>
      <c r="P1654">
        <v>1.337714360309737E-2</v>
      </c>
      <c r="Q1654">
        <v>4.4181521810141884E-4</v>
      </c>
      <c r="R1654">
        <v>8.0698539229608209E-4</v>
      </c>
      <c r="S1654">
        <v>7.0861415057139832E-2</v>
      </c>
      <c r="T1654">
        <v>0.82324883054363351</v>
      </c>
      <c r="U1654">
        <v>0</v>
      </c>
      <c r="V1654">
        <v>9.3429657522598922E-2</v>
      </c>
      <c r="W1654">
        <v>4.7885074676361807E-2</v>
      </c>
      <c r="X1654">
        <v>6.9511356138881198E-3</v>
      </c>
      <c r="Y1654">
        <v>2.1963482151668599E-3</v>
      </c>
    </row>
    <row r="1655" spans="1:25" x14ac:dyDescent="0.25">
      <c r="A1655" s="1096"/>
      <c r="B1655" s="1455">
        <v>1405</v>
      </c>
      <c r="C1655" s="1100">
        <v>0.9856001416246799</v>
      </c>
      <c r="D1655" s="1100">
        <v>0.98790925918011718</v>
      </c>
      <c r="E1655" s="1100">
        <v>0.96320169155443514</v>
      </c>
      <c r="F1655" s="1100">
        <v>1.00456682144906</v>
      </c>
      <c r="G1655" s="1100">
        <v>1.0056016935604446</v>
      </c>
      <c r="H1655" s="1100">
        <v>1.0093478735472756</v>
      </c>
      <c r="I1655" s="1100">
        <v>1.0240861405094699</v>
      </c>
      <c r="K1655">
        <v>1.1587739611449324</v>
      </c>
      <c r="L1655">
        <v>0</v>
      </c>
      <c r="M1655">
        <v>8.892318319738495E-4</v>
      </c>
      <c r="N1655">
        <v>7.3209251528856767E-2</v>
      </c>
      <c r="O1655">
        <v>1.0539440649061231E-2</v>
      </c>
      <c r="P1655">
        <v>1.3298924053162457E-2</v>
      </c>
      <c r="Q1655">
        <v>4.4086938690557717E-4</v>
      </c>
      <c r="R1655">
        <v>8.8728064132340459E-4</v>
      </c>
      <c r="S1655">
        <v>7.6536981652247801E-2</v>
      </c>
      <c r="T1655">
        <v>0.83388215124612763</v>
      </c>
      <c r="U1655">
        <v>0</v>
      </c>
      <c r="V1655">
        <v>9.2692211388696308E-2</v>
      </c>
      <c r="W1655">
        <v>4.9172747291269997E-2</v>
      </c>
      <c r="X1655">
        <v>6.5884497255570334E-3</v>
      </c>
      <c r="Y1655">
        <v>2.4148854136975041E-3</v>
      </c>
    </row>
    <row r="1656" spans="1:25" x14ac:dyDescent="0.25">
      <c r="A1656" s="1096"/>
      <c r="B1656" s="1455">
        <v>1406</v>
      </c>
      <c r="C1656" s="1100">
        <v>0.99548339015425436</v>
      </c>
      <c r="D1656" s="1100">
        <v>1.0401666394990805</v>
      </c>
      <c r="E1656" s="1100">
        <v>1.0001392491030261</v>
      </c>
      <c r="F1656" s="1100">
        <v>0.9869700581484987</v>
      </c>
      <c r="G1656" s="1100">
        <v>1.0212216623676398</v>
      </c>
      <c r="H1656" s="1100">
        <v>0.97490755133909701</v>
      </c>
      <c r="I1656" s="1100">
        <v>1.0199563928795436</v>
      </c>
      <c r="K1656">
        <v>1.133020502953203</v>
      </c>
      <c r="L1656">
        <v>0</v>
      </c>
      <c r="M1656">
        <v>7.7173916939442841E-4</v>
      </c>
      <c r="N1656">
        <v>7.104259255153933E-2</v>
      </c>
      <c r="O1656">
        <v>1.0233779937356835E-2</v>
      </c>
      <c r="P1656">
        <v>1.3390598381853859E-2</v>
      </c>
      <c r="Q1656">
        <v>4.4444554893731007E-4</v>
      </c>
      <c r="R1656">
        <v>7.6998596444969539E-4</v>
      </c>
      <c r="S1656">
        <v>7.2134861878955098E-2</v>
      </c>
      <c r="T1656">
        <v>0.81684003105783265</v>
      </c>
      <c r="U1656">
        <v>0</v>
      </c>
      <c r="V1656">
        <v>9.3115425940333341E-2</v>
      </c>
      <c r="W1656">
        <v>4.6666291748847129E-2</v>
      </c>
      <c r="X1656">
        <v>7.0585811430647514E-3</v>
      </c>
      <c r="Y1656">
        <v>2.0956479694271076E-3</v>
      </c>
    </row>
    <row r="1657" spans="1:25" x14ac:dyDescent="0.25">
      <c r="A1657" s="1096"/>
      <c r="B1657" s="1455">
        <v>1407</v>
      </c>
      <c r="C1657" s="1100">
        <v>0.97658528030138636</v>
      </c>
      <c r="D1657" s="1100">
        <v>0.99351245306991676</v>
      </c>
      <c r="E1657" s="1100">
        <v>1.0352028122620904</v>
      </c>
      <c r="F1657" s="1100">
        <v>0.98784696966194285</v>
      </c>
      <c r="G1657" s="1100">
        <v>1.0048738185298731</v>
      </c>
      <c r="H1657" s="1100">
        <v>1.0000769595204504</v>
      </c>
      <c r="I1657" s="1100">
        <v>0.98914535741137855</v>
      </c>
      <c r="K1657">
        <v>1.1455515173478659</v>
      </c>
      <c r="L1657">
        <v>0</v>
      </c>
      <c r="M1657">
        <v>7.6412344809192014E-4</v>
      </c>
      <c r="N1657">
        <v>7.8195878503897018E-2</v>
      </c>
      <c r="O1657">
        <v>1.06368827873747E-2</v>
      </c>
      <c r="P1657">
        <v>1.3743128502552713E-2</v>
      </c>
      <c r="Q1657">
        <v>4.783605733567985E-4</v>
      </c>
      <c r="R1657">
        <v>7.6243123253679987E-4</v>
      </c>
      <c r="S1657">
        <v>7.4095041240320153E-2</v>
      </c>
      <c r="T1657">
        <v>0.81529245641692683</v>
      </c>
      <c r="U1657">
        <v>0</v>
      </c>
      <c r="V1657">
        <v>9.2904214871075447E-2</v>
      </c>
      <c r="W1657">
        <v>5.0320219449610702E-2</v>
      </c>
      <c r="X1657">
        <v>7.8119407387291463E-3</v>
      </c>
      <c r="Y1657">
        <v>2.0750864795769119E-3</v>
      </c>
    </row>
    <row r="1658" spans="1:25" x14ac:dyDescent="0.25">
      <c r="A1658" s="1096"/>
      <c r="B1658" s="1455">
        <v>1408</v>
      </c>
      <c r="C1658" s="1100">
        <v>0.97699298279467928</v>
      </c>
      <c r="D1658" s="1100">
        <v>1.0052364460440264</v>
      </c>
      <c r="E1658" s="1100">
        <v>0.98032710260653555</v>
      </c>
      <c r="F1658" s="1100">
        <v>1.0306344818288666</v>
      </c>
      <c r="G1658" s="1100">
        <v>1.0012409133105586</v>
      </c>
      <c r="H1658" s="1100">
        <v>1.0021995279591005</v>
      </c>
      <c r="I1658" s="1100">
        <v>0.97299846506792165</v>
      </c>
      <c r="K1658">
        <v>1.1767438205273451</v>
      </c>
      <c r="L1658">
        <v>0</v>
      </c>
      <c r="M1658">
        <v>8.5380450248967292E-4</v>
      </c>
      <c r="N1658">
        <v>7.4032002896884858E-2</v>
      </c>
      <c r="O1658">
        <v>1.056430058998045E-2</v>
      </c>
      <c r="P1658">
        <v>1.3694682784984771E-2</v>
      </c>
      <c r="Q1658">
        <v>4.4970463318979307E-4</v>
      </c>
      <c r="R1658">
        <v>8.5191768529763786E-4</v>
      </c>
      <c r="S1658">
        <v>7.2439327076166668E-2</v>
      </c>
      <c r="T1658">
        <v>0.85433604929243046</v>
      </c>
      <c r="U1658">
        <v>0</v>
      </c>
      <c r="V1658">
        <v>9.2729377320737744E-2</v>
      </c>
      <c r="W1658">
        <v>4.9210480688080649E-2</v>
      </c>
      <c r="X1658">
        <v>6.9711429572901114E-3</v>
      </c>
      <c r="Y1658">
        <v>2.3186391047906878E-3</v>
      </c>
    </row>
    <row r="1659" spans="1:25" x14ac:dyDescent="0.25">
      <c r="A1659" s="1096"/>
      <c r="B1659" s="1455">
        <v>1409</v>
      </c>
      <c r="C1659" s="1100">
        <v>0.98297632409073121</v>
      </c>
      <c r="D1659" s="1100">
        <v>0.99397184930707505</v>
      </c>
      <c r="E1659" s="1100">
        <v>0.98016088957605907</v>
      </c>
      <c r="F1659" s="1100">
        <v>0.99322722897101856</v>
      </c>
      <c r="G1659" s="1100">
        <v>1.0112030304579562</v>
      </c>
      <c r="H1659" s="1100">
        <v>0.99032903647731674</v>
      </c>
      <c r="I1659" s="1100">
        <v>0.9911120621649625</v>
      </c>
      <c r="K1659">
        <v>1.1445830156960928</v>
      </c>
      <c r="L1659">
        <v>0</v>
      </c>
      <c r="M1659">
        <v>8.4263418230669392E-4</v>
      </c>
      <c r="N1659">
        <v>7.3024769883660079E-2</v>
      </c>
      <c r="O1659">
        <v>1.05473781339978E-2</v>
      </c>
      <c r="P1659">
        <v>1.3291601072781453E-2</v>
      </c>
      <c r="Q1659">
        <v>4.4890843843780156E-4</v>
      </c>
      <c r="R1659">
        <v>8.407497300545445E-4</v>
      </c>
      <c r="S1659">
        <v>7.327595934370551E-2</v>
      </c>
      <c r="T1659">
        <v>0.82333864720179795</v>
      </c>
      <c r="U1659">
        <v>0</v>
      </c>
      <c r="V1659">
        <v>9.3001039974289434E-2</v>
      </c>
      <c r="W1659">
        <v>4.8545824776026376E-2</v>
      </c>
      <c r="X1659">
        <v>6.8225277115133657E-3</v>
      </c>
      <c r="Y1659">
        <v>2.2882436121344435E-3</v>
      </c>
    </row>
    <row r="1660" spans="1:25" x14ac:dyDescent="0.25">
      <c r="A1660" s="1096"/>
      <c r="B1660" s="1455">
        <v>1410</v>
      </c>
      <c r="C1660" s="1100">
        <v>0.96858330354269218</v>
      </c>
      <c r="D1660" s="1100">
        <v>1.0173926107935074</v>
      </c>
      <c r="E1660" s="1100">
        <v>1.0321575553131781</v>
      </c>
      <c r="F1660" s="1100">
        <v>1.0193589935920244</v>
      </c>
      <c r="G1660" s="1100">
        <v>1.0187902342518802</v>
      </c>
      <c r="H1660" s="1100">
        <v>0.99610924853108307</v>
      </c>
      <c r="I1660" s="1100">
        <v>1.0091716234206867</v>
      </c>
      <c r="K1660">
        <v>1.1730664374761197</v>
      </c>
      <c r="L1660">
        <v>0</v>
      </c>
      <c r="M1660">
        <v>7.6496497306021707E-4</v>
      </c>
      <c r="N1660">
        <v>7.7566149609567758E-2</v>
      </c>
      <c r="O1660">
        <v>1.0622322219133418E-2</v>
      </c>
      <c r="P1660">
        <v>1.4104278966037788E-2</v>
      </c>
      <c r="Q1660">
        <v>4.7627252202655786E-4</v>
      </c>
      <c r="R1660">
        <v>7.6326414600649524E-4</v>
      </c>
      <c r="S1660">
        <v>7.5125463801818004E-2</v>
      </c>
      <c r="T1660">
        <v>0.84150216763014241</v>
      </c>
      <c r="U1660">
        <v>0</v>
      </c>
      <c r="V1660">
        <v>9.3708109116892022E-2</v>
      </c>
      <c r="W1660">
        <v>5.0003037336278866E-2</v>
      </c>
      <c r="X1660">
        <v>7.8829837058049124E-3</v>
      </c>
      <c r="Y1660">
        <v>2.0773533954715714E-3</v>
      </c>
    </row>
    <row r="1661" spans="1:25" x14ac:dyDescent="0.25">
      <c r="A1661" s="1096"/>
      <c r="B1661" s="1455">
        <v>1411</v>
      </c>
      <c r="C1661" s="1100">
        <v>0.99193314037640135</v>
      </c>
      <c r="D1661" s="1100">
        <v>1.0099126846367796</v>
      </c>
      <c r="E1661" s="1100">
        <v>0.9784024385052007</v>
      </c>
      <c r="F1661" s="1100">
        <v>0.98365174685385659</v>
      </c>
      <c r="G1661" s="1100">
        <v>1.0067501583556668</v>
      </c>
      <c r="H1661" s="1100">
        <v>1.01249274086804</v>
      </c>
      <c r="I1661" s="1100">
        <v>0.98758606664170578</v>
      </c>
      <c r="K1661">
        <v>1.1360112085175309</v>
      </c>
      <c r="L1661">
        <v>0</v>
      </c>
      <c r="M1661">
        <v>8.5138735415218316E-4</v>
      </c>
      <c r="N1661">
        <v>7.3395401812047414E-2</v>
      </c>
      <c r="O1661">
        <v>1.0385255591260452E-2</v>
      </c>
      <c r="P1661">
        <v>1.3155027014795923E-2</v>
      </c>
      <c r="Q1661">
        <v>4.4121871311957191E-4</v>
      </c>
      <c r="R1661">
        <v>8.4952500607489011E-4</v>
      </c>
      <c r="S1661">
        <v>7.2658650039851336E-2</v>
      </c>
      <c r="T1661">
        <v>0.81551669742032684</v>
      </c>
      <c r="U1661">
        <v>0</v>
      </c>
      <c r="V1661">
        <v>9.2582792331512481E-2</v>
      </c>
      <c r="W1661">
        <v>4.884407992518721E-2</v>
      </c>
      <c r="X1661">
        <v>6.7218209968141797E-3</v>
      </c>
      <c r="Y1661">
        <v>2.3121270206928621E-3</v>
      </c>
    </row>
    <row r="1662" spans="1:25" x14ac:dyDescent="0.25">
      <c r="A1662" s="1096"/>
      <c r="B1662" s="1455">
        <v>1412</v>
      </c>
      <c r="C1662" s="1100">
        <v>0.9864592356372287</v>
      </c>
      <c r="D1662" s="1100">
        <v>1.0071710054258542</v>
      </c>
      <c r="E1662" s="1100">
        <v>1.0389399274538995</v>
      </c>
      <c r="F1662" s="1100">
        <v>1.0170784730232187</v>
      </c>
      <c r="G1662" s="1100">
        <v>0.99497959470711717</v>
      </c>
      <c r="H1662" s="1100">
        <v>0.96641920005478654</v>
      </c>
      <c r="I1662" s="1100">
        <v>0.99548674874410592</v>
      </c>
      <c r="K1662">
        <v>1.1608030010589212</v>
      </c>
      <c r="L1662">
        <v>0</v>
      </c>
      <c r="M1662">
        <v>7.2138846783066342E-4</v>
      </c>
      <c r="N1662">
        <v>7.4652800283184578E-2</v>
      </c>
      <c r="O1662">
        <v>1.0474299709556992E-2</v>
      </c>
      <c r="P1662">
        <v>1.407537867212893E-2</v>
      </c>
      <c r="Q1662">
        <v>4.7278582892097302E-4</v>
      </c>
      <c r="R1662">
        <v>7.1973525326235824E-4</v>
      </c>
      <c r="S1662">
        <v>7.1933705369847986E-2</v>
      </c>
      <c r="T1662">
        <v>0.83917080443868397</v>
      </c>
      <c r="U1662">
        <v>0</v>
      </c>
      <c r="V1662">
        <v>9.2227968948799699E-2</v>
      </c>
      <c r="W1662">
        <v>4.7936669599175238E-2</v>
      </c>
      <c r="X1662">
        <v>7.9013593244716702E-3</v>
      </c>
      <c r="Y1662">
        <v>1.9588820987176668E-3</v>
      </c>
    </row>
    <row r="1663" spans="1:25" x14ac:dyDescent="0.25">
      <c r="A1663" s="1096"/>
      <c r="B1663" s="1455">
        <v>1413</v>
      </c>
      <c r="C1663" s="1100">
        <v>0.9936663987065818</v>
      </c>
      <c r="D1663" s="1100">
        <v>0.98782415233873266</v>
      </c>
      <c r="E1663" s="1100">
        <v>0.9877586785258371</v>
      </c>
      <c r="F1663" s="1100">
        <v>1.0092698313337332</v>
      </c>
      <c r="G1663" s="1100">
        <v>1.0479574891015828</v>
      </c>
      <c r="H1663" s="1100">
        <v>0.98561765754232578</v>
      </c>
      <c r="I1663" s="1100">
        <v>0.99552437143408146</v>
      </c>
      <c r="K1663">
        <v>1.1576133329741278</v>
      </c>
      <c r="L1663">
        <v>0</v>
      </c>
      <c r="M1663">
        <v>8.1869274273872901E-4</v>
      </c>
      <c r="N1663">
        <v>7.2598593754535715E-2</v>
      </c>
      <c r="O1663">
        <v>1.0462341365843982E-2</v>
      </c>
      <c r="P1663">
        <v>1.3552997673930573E-2</v>
      </c>
      <c r="Q1663">
        <v>4.4873356000603096E-4</v>
      </c>
      <c r="R1663">
        <v>8.1685308071554859E-4</v>
      </c>
      <c r="S1663">
        <v>7.2858985390159156E-2</v>
      </c>
      <c r="T1663">
        <v>0.83612555574296987</v>
      </c>
      <c r="U1663">
        <v>0</v>
      </c>
      <c r="V1663">
        <v>9.4302555419544395E-2</v>
      </c>
      <c r="W1663">
        <v>4.8042291097237191E-2</v>
      </c>
      <c r="X1663">
        <v>6.9999138217608538E-3</v>
      </c>
      <c r="Y1663">
        <v>2.223204810162035E-3</v>
      </c>
    </row>
    <row r="1664" spans="1:25" x14ac:dyDescent="0.25">
      <c r="A1664" s="1096"/>
      <c r="B1664" s="1455">
        <v>1414</v>
      </c>
      <c r="C1664" s="1100">
        <v>0.98967511640054884</v>
      </c>
      <c r="D1664" s="1100">
        <v>0.98541215989720765</v>
      </c>
      <c r="E1664" s="1100">
        <v>1.0076135585532937</v>
      </c>
      <c r="F1664" s="1100">
        <v>0.9780291473311622</v>
      </c>
      <c r="G1664" s="1100">
        <v>1.0294258807438472</v>
      </c>
      <c r="H1664" s="1100">
        <v>0.96137547482385388</v>
      </c>
      <c r="I1664" s="1100">
        <v>0.97342661807012221</v>
      </c>
      <c r="K1664">
        <v>1.1268004639671594</v>
      </c>
      <c r="L1664">
        <v>0</v>
      </c>
      <c r="M1664">
        <v>7.7019052889570037E-4</v>
      </c>
      <c r="N1664">
        <v>7.2516484533553624E-2</v>
      </c>
      <c r="O1664">
        <v>1.0521414973565232E-2</v>
      </c>
      <c r="P1664">
        <v>1.3343908030478384E-2</v>
      </c>
      <c r="Q1664">
        <v>4.6037582995534453E-4</v>
      </c>
      <c r="R1664">
        <v>7.6841621394182472E-4</v>
      </c>
      <c r="S1664">
        <v>7.0666108153203941E-2</v>
      </c>
      <c r="T1664">
        <v>0.80895727444611232</v>
      </c>
      <c r="U1664">
        <v>0</v>
      </c>
      <c r="V1664">
        <v>9.3613318787212421E-2</v>
      </c>
      <c r="W1664">
        <v>4.742396337909309E-2</v>
      </c>
      <c r="X1664">
        <v>7.2080145229266026E-3</v>
      </c>
      <c r="Y1664">
        <v>2.0913756260127988E-3</v>
      </c>
    </row>
    <row r="1665" spans="1:25" x14ac:dyDescent="0.25">
      <c r="A1665" s="1096"/>
      <c r="B1665" s="1455">
        <v>1415</v>
      </c>
      <c r="C1665" s="1100">
        <v>1.0226977932776802</v>
      </c>
      <c r="D1665" s="1100">
        <v>1.0022461445737114</v>
      </c>
      <c r="E1665" s="1100">
        <v>1.0432400115973592</v>
      </c>
      <c r="F1665" s="1100">
        <v>0.97136444584589254</v>
      </c>
      <c r="G1665" s="1100">
        <v>0.99984333669997805</v>
      </c>
      <c r="H1665" s="1100">
        <v>1.0095059692639077</v>
      </c>
      <c r="I1665" s="1100">
        <v>0.99837203918008899</v>
      </c>
      <c r="K1665">
        <v>1.1221923931253923</v>
      </c>
      <c r="L1665">
        <v>0</v>
      </c>
      <c r="M1665">
        <v>7.2176872183538261E-4</v>
      </c>
      <c r="N1665">
        <v>7.5673303263502745E-2</v>
      </c>
      <c r="O1665">
        <v>1.0124362649759978E-2</v>
      </c>
      <c r="P1665">
        <v>1.3568508070037911E-2</v>
      </c>
      <c r="Q1665">
        <v>4.5892566928525862E-4</v>
      </c>
      <c r="R1665">
        <v>7.2018523395266597E-4</v>
      </c>
      <c r="S1665">
        <v>7.1477655863979209E-2</v>
      </c>
      <c r="T1665">
        <v>0.80118211776288206</v>
      </c>
      <c r="U1665">
        <v>0</v>
      </c>
      <c r="V1665">
        <v>9.1545754409036034E-2</v>
      </c>
      <c r="W1665">
        <v>4.8471871473021393E-2</v>
      </c>
      <c r="X1665">
        <v>7.7313706539494619E-3</v>
      </c>
      <c r="Y1665">
        <v>1.9601067978205892E-3</v>
      </c>
    </row>
    <row r="1666" spans="1:25" x14ac:dyDescent="0.25">
      <c r="A1666" s="1096"/>
      <c r="B1666" s="1455">
        <v>1416</v>
      </c>
      <c r="C1666" s="1100">
        <v>0.97242146971109911</v>
      </c>
      <c r="D1666" s="1100">
        <v>0.95540038757709911</v>
      </c>
      <c r="E1666" s="1100">
        <v>0.99340089543435039</v>
      </c>
      <c r="F1666" s="1100">
        <v>0.99844060783296462</v>
      </c>
      <c r="G1666" s="1100">
        <v>0.99328120164205169</v>
      </c>
      <c r="H1666" s="1100">
        <v>0.9830292362161559</v>
      </c>
      <c r="I1666" s="1100">
        <v>0.95918383593070289</v>
      </c>
      <c r="K1666">
        <v>1.1514369379271339</v>
      </c>
      <c r="L1666">
        <v>0</v>
      </c>
      <c r="M1666">
        <v>8.3577097828350347E-4</v>
      </c>
      <c r="N1666">
        <v>7.5387656255957572E-2</v>
      </c>
      <c r="O1666">
        <v>1.0836525171502104E-2</v>
      </c>
      <c r="P1666">
        <v>1.3459872616986555E-2</v>
      </c>
      <c r="Q1666">
        <v>4.674397886530116E-4</v>
      </c>
      <c r="R1666">
        <v>8.33887995149848E-4</v>
      </c>
      <c r="S1666">
        <v>7.2877545435772143E-2</v>
      </c>
      <c r="T1666">
        <v>0.82677945149230836</v>
      </c>
      <c r="U1666">
        <v>0</v>
      </c>
      <c r="V1666">
        <v>9.2510206720640767E-2</v>
      </c>
      <c r="W1666">
        <v>4.9719698480973851E-2</v>
      </c>
      <c r="X1666">
        <v>7.1308567157794198E-3</v>
      </c>
      <c r="Y1666">
        <v>2.2695682316941643E-3</v>
      </c>
    </row>
    <row r="1667" spans="1:25" x14ac:dyDescent="0.25">
      <c r="A1667" s="1096"/>
      <c r="B1667" s="1455">
        <v>1417</v>
      </c>
      <c r="C1667" s="1100">
        <v>0.99601782777759706</v>
      </c>
      <c r="D1667" s="1100">
        <v>0.99803423036983574</v>
      </c>
      <c r="E1667" s="1100">
        <v>0.99503476408433889</v>
      </c>
      <c r="F1667" s="1100">
        <v>0.9849121471922746</v>
      </c>
      <c r="G1667" s="1100">
        <v>0.98345400984453657</v>
      </c>
      <c r="H1667" s="1100">
        <v>0.98872731859284446</v>
      </c>
      <c r="I1667" s="1100">
        <v>1.0224768573132832</v>
      </c>
      <c r="K1667">
        <v>1.1355913306448415</v>
      </c>
      <c r="L1667">
        <v>0</v>
      </c>
      <c r="M1667">
        <v>8.0376713134437758E-4</v>
      </c>
      <c r="N1667">
        <v>7.2860736116813318E-2</v>
      </c>
      <c r="O1667">
        <v>1.0397187739286527E-2</v>
      </c>
      <c r="P1667">
        <v>1.3329587395158255E-2</v>
      </c>
      <c r="Q1667">
        <v>4.4922825283012698E-4</v>
      </c>
      <c r="R1667">
        <v>8.0196668871817189E-4</v>
      </c>
      <c r="S1667">
        <v>7.4399668675491179E-2</v>
      </c>
      <c r="T1667">
        <v>0.81547008996256076</v>
      </c>
      <c r="U1667">
        <v>0</v>
      </c>
      <c r="V1667">
        <v>9.1486565936655398E-2</v>
      </c>
      <c r="W1667">
        <v>4.8006288738699332E-2</v>
      </c>
      <c r="X1667">
        <v>7.0110893115282779E-3</v>
      </c>
      <c r="Y1667">
        <v>2.182688958442979E-3</v>
      </c>
    </row>
    <row r="1668" spans="1:25" x14ac:dyDescent="0.25">
      <c r="A1668" s="1096"/>
      <c r="B1668" s="1455">
        <v>1418</v>
      </c>
      <c r="C1668" s="1100">
        <v>1.0067581921858739</v>
      </c>
      <c r="D1668" s="1100">
        <v>0.97607937584139559</v>
      </c>
      <c r="E1668" s="1100">
        <v>1.0226917538939466</v>
      </c>
      <c r="F1668" s="1100">
        <v>1.0075302634096512</v>
      </c>
      <c r="G1668" s="1100">
        <v>0.97028046864553397</v>
      </c>
      <c r="H1668" s="1100">
        <v>0.97143506765002574</v>
      </c>
      <c r="I1668" s="1100">
        <v>1.0323575519536703</v>
      </c>
      <c r="K1668">
        <v>1.1526383678260903</v>
      </c>
      <c r="L1668">
        <v>0</v>
      </c>
      <c r="M1668">
        <v>7.4425978450624278E-4</v>
      </c>
      <c r="N1668">
        <v>7.333909911745469E-2</v>
      </c>
      <c r="O1668">
        <v>1.0387289077368116E-2</v>
      </c>
      <c r="P1668">
        <v>1.3829337587301252E-2</v>
      </c>
      <c r="Q1668">
        <v>4.613898596004733E-4</v>
      </c>
      <c r="R1668">
        <v>7.4256296224266087E-4</v>
      </c>
      <c r="S1668">
        <v>7.4477373357718021E-2</v>
      </c>
      <c r="T1668">
        <v>0.83236022699687684</v>
      </c>
      <c r="U1668">
        <v>0</v>
      </c>
      <c r="V1668">
        <v>9.0662662168320099E-2</v>
      </c>
      <c r="W1668">
        <v>4.7539089737623566E-2</v>
      </c>
      <c r="X1668">
        <v>7.5625851486783051E-3</v>
      </c>
      <c r="Y1668">
        <v>2.021011597409807E-3</v>
      </c>
    </row>
    <row r="1669" spans="1:25" x14ac:dyDescent="0.25">
      <c r="A1669" s="1096"/>
      <c r="B1669" s="1455">
        <v>1419</v>
      </c>
      <c r="C1669" s="1100">
        <v>1.0293175445718561</v>
      </c>
      <c r="D1669" s="1100">
        <v>1.0139788232415183</v>
      </c>
      <c r="E1669" s="1100">
        <v>1.0104819091984829</v>
      </c>
      <c r="F1669" s="1100">
        <v>1.001164277421243</v>
      </c>
      <c r="G1669" s="1100">
        <v>1.0019301461343608</v>
      </c>
      <c r="H1669" s="1100">
        <v>0.96533036421259033</v>
      </c>
      <c r="I1669" s="1100">
        <v>0.96924953632383681</v>
      </c>
      <c r="K1669">
        <v>1.1340746129239343</v>
      </c>
      <c r="L1669">
        <v>0</v>
      </c>
      <c r="M1669">
        <v>7.3075601899558369E-4</v>
      </c>
      <c r="N1669">
        <v>6.9402662771581303E-2</v>
      </c>
      <c r="O1669">
        <v>1.000212961868764E-2</v>
      </c>
      <c r="P1669">
        <v>1.3550209073638514E-2</v>
      </c>
      <c r="Q1669">
        <v>4.3891129490772254E-4</v>
      </c>
      <c r="R1669">
        <v>7.290794477553058E-4</v>
      </c>
      <c r="S1669">
        <v>6.6816760541842185E-2</v>
      </c>
      <c r="T1669">
        <v>0.8279037574230167</v>
      </c>
      <c r="U1669">
        <v>0</v>
      </c>
      <c r="V1669">
        <v>9.1473786987518624E-2</v>
      </c>
      <c r="W1669">
        <v>4.5310840834638884E-2</v>
      </c>
      <c r="X1669">
        <v>7.1929170335279661E-3</v>
      </c>
      <c r="Y1669">
        <v>1.9843139158145832E-3</v>
      </c>
    </row>
    <row r="1670" spans="1:25" x14ac:dyDescent="0.25">
      <c r="A1670" s="1096"/>
      <c r="B1670" s="1455">
        <v>1420</v>
      </c>
      <c r="C1670" s="1100">
        <v>0.98723397165732529</v>
      </c>
      <c r="D1670" s="1100">
        <v>1.0039722833763851</v>
      </c>
      <c r="E1670" s="1100">
        <v>1.005821821164204</v>
      </c>
      <c r="F1670" s="1100">
        <v>1.0323786319305974</v>
      </c>
      <c r="G1670" s="1100">
        <v>0.9836527363272074</v>
      </c>
      <c r="H1670" s="1100">
        <v>0.99477105046053893</v>
      </c>
      <c r="I1670" s="1100">
        <v>1.0168687832635903</v>
      </c>
      <c r="K1670">
        <v>1.1782466420970148</v>
      </c>
      <c r="L1670">
        <v>0</v>
      </c>
      <c r="M1670">
        <v>7.9593039463815595E-4</v>
      </c>
      <c r="N1670">
        <v>7.4541400482386888E-2</v>
      </c>
      <c r="O1670">
        <v>1.0468405989087555E-2</v>
      </c>
      <c r="P1670">
        <v>1.3972436103717784E-2</v>
      </c>
      <c r="Q1670">
        <v>4.5723519309640064E-4</v>
      </c>
      <c r="R1670">
        <v>7.9415833828209124E-4</v>
      </c>
      <c r="S1670">
        <v>7.468848851964302E-2</v>
      </c>
      <c r="T1670">
        <v>0.85403342486561795</v>
      </c>
      <c r="U1670">
        <v>0</v>
      </c>
      <c r="V1670">
        <v>9.1718215238835846E-2</v>
      </c>
      <c r="W1670">
        <v>4.8799873098993571E-2</v>
      </c>
      <c r="X1670">
        <v>7.4074974594133128E-3</v>
      </c>
      <c r="Y1670">
        <v>2.161437202577996E-3</v>
      </c>
    </row>
    <row r="1671" spans="1:25" x14ac:dyDescent="0.25">
      <c r="A1671" s="1096"/>
      <c r="B1671" s="1455">
        <v>1421</v>
      </c>
      <c r="C1671" s="1100">
        <v>1.0030816006427439</v>
      </c>
      <c r="D1671" s="1100">
        <v>0.99936771297628557</v>
      </c>
      <c r="E1671" s="1100">
        <v>1.0018733738957406</v>
      </c>
      <c r="F1671" s="1100">
        <v>0.98838826813814895</v>
      </c>
      <c r="G1671" s="1100">
        <v>1.0259704760885313</v>
      </c>
      <c r="H1671" s="1100">
        <v>1.0169569515432006</v>
      </c>
      <c r="I1671" s="1100">
        <v>0.98916601741994559</v>
      </c>
      <c r="K1671">
        <v>1.1411090107933897</v>
      </c>
      <c r="L1671">
        <v>0</v>
      </c>
      <c r="M1671">
        <v>8.089022204832506E-4</v>
      </c>
      <c r="N1671">
        <v>7.4861813537590263E-2</v>
      </c>
      <c r="O1671">
        <v>1.0320688993009633E-2</v>
      </c>
      <c r="P1671">
        <v>1.3428428306653624E-2</v>
      </c>
      <c r="Q1671">
        <v>4.4900148602442213E-4</v>
      </c>
      <c r="R1671">
        <v>8.0714057288473772E-4</v>
      </c>
      <c r="S1671">
        <v>7.2560678006924104E-2</v>
      </c>
      <c r="T1671">
        <v>0.81790035724759813</v>
      </c>
      <c r="U1671">
        <v>0</v>
      </c>
      <c r="V1671">
        <v>9.313010258739142E-2</v>
      </c>
      <c r="W1671">
        <v>4.9124435799617082E-2</v>
      </c>
      <c r="X1671">
        <v>7.1384959106055622E-3</v>
      </c>
      <c r="Y1671">
        <v>2.196770565573913E-3</v>
      </c>
    </row>
    <row r="1672" spans="1:25" x14ac:dyDescent="0.25">
      <c r="A1672" s="1096"/>
      <c r="B1672" s="1455">
        <v>1422</v>
      </c>
      <c r="C1672" s="1100">
        <v>0.9813565124118705</v>
      </c>
      <c r="D1672" s="1100">
        <v>0.97581652894327364</v>
      </c>
      <c r="E1672" s="1100">
        <v>1.0222611167391784</v>
      </c>
      <c r="F1672" s="1100">
        <v>0.99714708629601456</v>
      </c>
      <c r="G1672" s="1100">
        <v>1.0096953071035637</v>
      </c>
      <c r="H1672" s="1100">
        <v>1.0143448006045352</v>
      </c>
      <c r="I1672" s="1100">
        <v>1.0169847895135447</v>
      </c>
      <c r="K1672">
        <v>1.1580876120324355</v>
      </c>
      <c r="L1672">
        <v>0</v>
      </c>
      <c r="M1672">
        <v>7.9805130263380011E-4</v>
      </c>
      <c r="N1672">
        <v>7.8545209378323405E-2</v>
      </c>
      <c r="O1672">
        <v>1.0657158804218013E-2</v>
      </c>
      <c r="P1672">
        <v>1.3775156816364684E-2</v>
      </c>
      <c r="Q1672">
        <v>4.7317478079289364E-4</v>
      </c>
      <c r="R1672">
        <v>7.9630881068026415E-4</v>
      </c>
      <c r="S1672">
        <v>7.7104911506636356E-2</v>
      </c>
      <c r="T1672">
        <v>0.82381039367295006</v>
      </c>
      <c r="U1672">
        <v>0</v>
      </c>
      <c r="V1672">
        <v>9.2984544612221776E-2</v>
      </c>
      <c r="W1672">
        <v>5.0926543238716017E-2</v>
      </c>
      <c r="X1672">
        <v>7.6449716346215623E-3</v>
      </c>
      <c r="Y1672">
        <v>2.1672900795427874E-3</v>
      </c>
    </row>
    <row r="1673" spans="1:25" x14ac:dyDescent="0.25">
      <c r="A1673" s="1096"/>
      <c r="B1673" s="1455">
        <v>1423</v>
      </c>
      <c r="C1673" s="1100">
        <v>1.0141211058499509</v>
      </c>
      <c r="D1673" s="1100">
        <v>1.017417025426103</v>
      </c>
      <c r="E1673" s="1100">
        <v>1.0076269573052248</v>
      </c>
      <c r="F1673" s="1100">
        <v>1.0230758080611082</v>
      </c>
      <c r="G1673" s="1100">
        <v>1.0309349399001895</v>
      </c>
      <c r="H1673" s="1100">
        <v>1.0036748315696316</v>
      </c>
      <c r="I1673" s="1100">
        <v>1.0248928168191171</v>
      </c>
      <c r="K1673">
        <v>1.1669886061596548</v>
      </c>
      <c r="L1673">
        <v>0</v>
      </c>
      <c r="M1673">
        <v>7.7470521617898345E-4</v>
      </c>
      <c r="N1673">
        <v>7.2951609833188685E-2</v>
      </c>
      <c r="O1673">
        <v>1.0137356746128291E-2</v>
      </c>
      <c r="P1673">
        <v>1.3881475717828396E-2</v>
      </c>
      <c r="Q1673">
        <v>4.4357689808764646E-4</v>
      </c>
      <c r="R1673">
        <v>7.7299571649747806E-4</v>
      </c>
      <c r="S1673">
        <v>7.3148994017441293E-2</v>
      </c>
      <c r="T1673">
        <v>0.84621581597794926</v>
      </c>
      <c r="U1673">
        <v>0</v>
      </c>
      <c r="V1673">
        <v>9.3074117388755498E-2</v>
      </c>
      <c r="W1673">
        <v>4.7708146771836712E-2</v>
      </c>
      <c r="X1673">
        <v>7.325382785782421E-3</v>
      </c>
      <c r="Y1673">
        <v>2.1038395223366758E-3</v>
      </c>
    </row>
    <row r="1674" spans="1:25" x14ac:dyDescent="0.25">
      <c r="A1674" s="1096"/>
      <c r="B1674" s="1455">
        <v>1424</v>
      </c>
      <c r="C1674" s="1100">
        <v>1.0078283605809208</v>
      </c>
      <c r="D1674" s="1100">
        <v>1.0181473445449876</v>
      </c>
      <c r="E1674" s="1100">
        <v>1.0133432796267181</v>
      </c>
      <c r="F1674" s="1100">
        <v>0.98181386533189352</v>
      </c>
      <c r="G1674" s="1100">
        <v>0.99518671442930962</v>
      </c>
      <c r="H1674" s="1100">
        <v>1.0251822392649943</v>
      </c>
      <c r="I1674" s="1100">
        <v>1.0185149080559304</v>
      </c>
      <c r="K1674">
        <v>1.135441639201249</v>
      </c>
      <c r="L1674">
        <v>0</v>
      </c>
      <c r="M1674">
        <v>7.8662036478916494E-4</v>
      </c>
      <c r="N1674">
        <v>7.5366497560305459E-2</v>
      </c>
      <c r="O1674">
        <v>1.0199571734648132E-2</v>
      </c>
      <c r="P1674">
        <v>1.3458246685202723E-2</v>
      </c>
      <c r="Q1674">
        <v>4.4885610227461594E-4</v>
      </c>
      <c r="R1674">
        <v>7.8492098796982947E-4</v>
      </c>
      <c r="S1674">
        <v>7.4005652733620322E-2</v>
      </c>
      <c r="T1674">
        <v>0.81171720199282904</v>
      </c>
      <c r="U1674">
        <v>0</v>
      </c>
      <c r="V1674">
        <v>9.1699446365530068E-2</v>
      </c>
      <c r="W1674">
        <v>4.9121616151750751E-2</v>
      </c>
      <c r="X1674">
        <v>7.289953071785352E-3</v>
      </c>
      <c r="Y1674">
        <v>2.1362961801197318E-3</v>
      </c>
    </row>
    <row r="1675" spans="1:25" x14ac:dyDescent="0.25">
      <c r="A1675" s="1096"/>
      <c r="B1675" s="1455">
        <v>1425</v>
      </c>
      <c r="C1675" s="1100">
        <v>0.98617188611880524</v>
      </c>
      <c r="D1675" s="1100">
        <v>0.99183889120160584</v>
      </c>
      <c r="E1675" s="1100">
        <v>0.99126451598564969</v>
      </c>
      <c r="F1675" s="1100">
        <v>1.0470975503521704</v>
      </c>
      <c r="G1675" s="1100">
        <v>1.0138137430120007</v>
      </c>
      <c r="H1675" s="1100">
        <v>1.0141152682610404</v>
      </c>
      <c r="I1675" s="1100">
        <v>1.0023697831712368</v>
      </c>
      <c r="K1675">
        <v>1.1949119959913796</v>
      </c>
      <c r="L1675">
        <v>0</v>
      </c>
      <c r="M1675">
        <v>8.4125969793812517E-4</v>
      </c>
      <c r="N1675">
        <v>7.5399485398690069E-2</v>
      </c>
      <c r="O1675">
        <v>1.0525927229692209E-2</v>
      </c>
      <c r="P1675">
        <v>1.4021070842829155E-2</v>
      </c>
      <c r="Q1675">
        <v>4.5306384106776017E-4</v>
      </c>
      <c r="R1675">
        <v>8.394224475819429E-4</v>
      </c>
      <c r="S1675">
        <v>7.4949678333350589E-2</v>
      </c>
      <c r="T1675">
        <v>0.86721949708599366</v>
      </c>
      <c r="U1675">
        <v>0</v>
      </c>
      <c r="V1675">
        <v>9.3032512927085836E-2</v>
      </c>
      <c r="W1675">
        <v>4.9791065649620728E-2</v>
      </c>
      <c r="X1675">
        <v>7.236900746622428E-3</v>
      </c>
      <c r="Y1675">
        <v>2.2846311867825717E-3</v>
      </c>
    </row>
    <row r="1676" spans="1:25" x14ac:dyDescent="0.25">
      <c r="A1676" s="1096"/>
      <c r="B1676" s="1455">
        <v>1426</v>
      </c>
      <c r="C1676" s="1100">
        <v>1.0213359720898445</v>
      </c>
      <c r="D1676" s="1100">
        <v>1.0058462231578207</v>
      </c>
      <c r="E1676" s="1100">
        <v>1.0187844712528196</v>
      </c>
      <c r="F1676" s="1100">
        <v>0.98887787603061283</v>
      </c>
      <c r="G1676" s="1100">
        <v>1.0124840617849999</v>
      </c>
      <c r="H1676" s="1100">
        <v>0.97766211719399299</v>
      </c>
      <c r="I1676" s="1100">
        <v>1.0021482912414041</v>
      </c>
      <c r="K1676">
        <v>1.1313373679388463</v>
      </c>
      <c r="L1676">
        <v>0</v>
      </c>
      <c r="M1676">
        <v>7.3547619178048027E-4</v>
      </c>
      <c r="N1676">
        <v>7.1625393374409221E-2</v>
      </c>
      <c r="O1676">
        <v>1.0115477322549459E-2</v>
      </c>
      <c r="P1676">
        <v>1.3544151429775025E-2</v>
      </c>
      <c r="Q1676">
        <v>4.4757510124445333E-4</v>
      </c>
      <c r="R1676">
        <v>7.3381007511203562E-4</v>
      </c>
      <c r="S1676">
        <v>7.0414749371732588E-2</v>
      </c>
      <c r="T1676">
        <v>0.81720396596477396</v>
      </c>
      <c r="U1676">
        <v>0</v>
      </c>
      <c r="V1676">
        <v>9.211432049376525E-2</v>
      </c>
      <c r="W1676">
        <v>4.6534442870770937E-2</v>
      </c>
      <c r="X1676">
        <v>7.3417690024658528E-3</v>
      </c>
      <c r="Y1676">
        <v>1.9971891240287126E-3</v>
      </c>
    </row>
    <row r="1677" spans="1:25" x14ac:dyDescent="0.25">
      <c r="A1677" s="1096"/>
      <c r="B1677" s="1455">
        <v>1427</v>
      </c>
      <c r="C1677" s="1100">
        <v>0.99072578785136201</v>
      </c>
      <c r="D1677" s="1100">
        <v>1.0195541095648408</v>
      </c>
      <c r="E1677" s="1100">
        <v>1.0302394997325999</v>
      </c>
      <c r="F1677" s="1100">
        <v>0.97177238264273258</v>
      </c>
      <c r="G1677" s="1100">
        <v>1.0222884110531192</v>
      </c>
      <c r="H1677" s="1100">
        <v>1.04264062988996</v>
      </c>
      <c r="I1677" s="1100">
        <v>0.96117020997062907</v>
      </c>
      <c r="K1677">
        <v>1.1316625570345711</v>
      </c>
      <c r="L1677">
        <v>0</v>
      </c>
      <c r="M1677">
        <v>7.8527207228113133E-4</v>
      </c>
      <c r="N1677">
        <v>7.9174093974054796E-2</v>
      </c>
      <c r="O1677">
        <v>1.0375471943685858E-2</v>
      </c>
      <c r="P1677">
        <v>1.3485062107967315E-2</v>
      </c>
      <c r="Q1677">
        <v>4.6432372327555018E-4</v>
      </c>
      <c r="R1677">
        <v>7.8360401451861355E-4</v>
      </c>
      <c r="S1677">
        <v>7.1697940139429414E-2</v>
      </c>
      <c r="T1677">
        <v>0.80233994029861089</v>
      </c>
      <c r="U1677">
        <v>0</v>
      </c>
      <c r="V1677">
        <v>9.3285127038669605E-2</v>
      </c>
      <c r="W1677">
        <v>5.1096403950292982E-2</v>
      </c>
      <c r="X1677">
        <v>7.6131501038206144E-3</v>
      </c>
      <c r="Y1677">
        <v>2.1327118125257036E-3</v>
      </c>
    </row>
    <row r="1678" spans="1:25" x14ac:dyDescent="0.25">
      <c r="A1678" s="1096"/>
      <c r="B1678" s="1455">
        <v>1428</v>
      </c>
      <c r="C1678" s="1100">
        <v>0.97110710867104599</v>
      </c>
      <c r="D1678" s="1100">
        <v>0.97891788502300092</v>
      </c>
      <c r="E1678" s="1100">
        <v>0.98808284864869489</v>
      </c>
      <c r="F1678" s="1100">
        <v>1.0361194913298919</v>
      </c>
      <c r="G1678" s="1100">
        <v>1.0385210018582816</v>
      </c>
      <c r="H1678" s="1100">
        <v>0.95873196135202976</v>
      </c>
      <c r="I1678" s="1100">
        <v>0.98049307958685861</v>
      </c>
      <c r="K1678">
        <v>1.1804537727900428</v>
      </c>
      <c r="L1678">
        <v>0</v>
      </c>
      <c r="M1678">
        <v>8.1726897511994162E-4</v>
      </c>
      <c r="N1678">
        <v>7.2538834189422322E-2</v>
      </c>
      <c r="O1678">
        <v>1.0744350157156224E-2</v>
      </c>
      <c r="P1678">
        <v>1.3856140368042306E-2</v>
      </c>
      <c r="Q1678">
        <v>4.6098021224707706E-4</v>
      </c>
      <c r="R1678">
        <v>8.1538101252842513E-4</v>
      </c>
      <c r="S1678">
        <v>7.2655744709908821E-2</v>
      </c>
      <c r="T1678">
        <v>0.85834668105730716</v>
      </c>
      <c r="U1678">
        <v>0</v>
      </c>
      <c r="V1678">
        <v>9.4478354738748091E-2</v>
      </c>
      <c r="W1678">
        <v>4.799340860387645E-2</v>
      </c>
      <c r="X1678">
        <v>7.1619683901013647E-3</v>
      </c>
      <c r="Y1678">
        <v>2.2191983258238322E-3</v>
      </c>
    </row>
    <row r="1679" spans="1:25" x14ac:dyDescent="0.25">
      <c r="A1679" s="1096"/>
      <c r="B1679" s="1455">
        <v>1429</v>
      </c>
      <c r="C1679" s="1100">
        <v>0.99828959852348176</v>
      </c>
      <c r="D1679" s="1100">
        <v>0.99972235585993852</v>
      </c>
      <c r="E1679" s="1100">
        <v>0.98348342305944625</v>
      </c>
      <c r="F1679" s="1100">
        <v>0.98410467714041183</v>
      </c>
      <c r="G1679" s="1100">
        <v>1.0031852357169275</v>
      </c>
      <c r="H1679" s="1100">
        <v>0.97506710303895794</v>
      </c>
      <c r="I1679" s="1100">
        <v>1.0445546066669744</v>
      </c>
      <c r="K1679">
        <v>1.1339109286331845</v>
      </c>
      <c r="L1679">
        <v>0</v>
      </c>
      <c r="M1679">
        <v>8.0945713199260063E-4</v>
      </c>
      <c r="N1679">
        <v>7.0855743087606823E-2</v>
      </c>
      <c r="O1679">
        <v>1.0362735834376252E-2</v>
      </c>
      <c r="P1679">
        <v>1.3236153939743287E-2</v>
      </c>
      <c r="Q1679">
        <v>4.4254028805112159E-4</v>
      </c>
      <c r="R1679">
        <v>8.0761854184981964E-4</v>
      </c>
      <c r="S1679">
        <v>7.5171814963534256E-2</v>
      </c>
      <c r="T1679">
        <v>0.81555808601086632</v>
      </c>
      <c r="U1679">
        <v>0</v>
      </c>
      <c r="V1679">
        <v>9.2271974939471313E-2</v>
      </c>
      <c r="W1679">
        <v>4.7009616592842765E-2</v>
      </c>
      <c r="X1679">
        <v>6.806030127300214E-3</v>
      </c>
      <c r="Y1679">
        <v>2.1980714395344395E-3</v>
      </c>
    </row>
    <row r="1680" spans="1:25" x14ac:dyDescent="0.25">
      <c r="A1680" s="1096"/>
      <c r="B1680" s="1455">
        <v>1430</v>
      </c>
      <c r="C1680" s="1100">
        <v>0.9742186289555187</v>
      </c>
      <c r="D1680" s="1100">
        <v>1.0044039518916379</v>
      </c>
      <c r="E1680" s="1100">
        <v>0.98657158390883626</v>
      </c>
      <c r="F1680" s="1100">
        <v>1.0104196286560556</v>
      </c>
      <c r="G1680" s="1100">
        <v>1.0024337207493821</v>
      </c>
      <c r="H1680" s="1100">
        <v>0.98546597147677262</v>
      </c>
      <c r="I1680" s="1100">
        <v>0.99639518461528265</v>
      </c>
      <c r="K1680">
        <v>1.1597265947951252</v>
      </c>
      <c r="L1680">
        <v>0</v>
      </c>
      <c r="M1680">
        <v>8.314076597471426E-4</v>
      </c>
      <c r="N1680">
        <v>7.3461887942033663E-2</v>
      </c>
      <c r="O1680">
        <v>1.0599985562923775E-2</v>
      </c>
      <c r="P1680">
        <v>1.3547069206565938E-2</v>
      </c>
      <c r="Q1680">
        <v>4.5409113030720621E-4</v>
      </c>
      <c r="R1680">
        <v>8.2953913881800919E-4</v>
      </c>
      <c r="S1680">
        <v>7.3736656103232406E-2</v>
      </c>
      <c r="T1680">
        <v>0.8371580093441493</v>
      </c>
      <c r="U1680">
        <v>0</v>
      </c>
      <c r="V1680">
        <v>9.2853510129015035E-2</v>
      </c>
      <c r="W1680">
        <v>4.8648239208891948E-2</v>
      </c>
      <c r="X1680">
        <v>7.0112826105766437E-3</v>
      </c>
      <c r="Y1680">
        <v>2.2577320783590039E-3</v>
      </c>
    </row>
    <row r="1681" spans="1:25" x14ac:dyDescent="0.25">
      <c r="A1681" s="1096"/>
      <c r="B1681" s="1455">
        <v>1431</v>
      </c>
      <c r="C1681" s="1100">
        <v>1.004159002547605</v>
      </c>
      <c r="D1681" s="1100">
        <v>1.0020221614001055</v>
      </c>
      <c r="E1681" s="1100">
        <v>1.0247290705575267</v>
      </c>
      <c r="F1681" s="1100">
        <v>0.98558394157366247</v>
      </c>
      <c r="G1681" s="1100">
        <v>0.97404883667150366</v>
      </c>
      <c r="H1681" s="1100">
        <v>1.021475382660062</v>
      </c>
      <c r="I1681" s="1100">
        <v>0.99082521659978906</v>
      </c>
      <c r="K1681">
        <v>1.1379602173084693</v>
      </c>
      <c r="L1681">
        <v>0</v>
      </c>
      <c r="M1681">
        <v>7.7314776025519914E-4</v>
      </c>
      <c r="N1681">
        <v>7.6663853218281522E-2</v>
      </c>
      <c r="O1681">
        <v>1.0306141238981248E-2</v>
      </c>
      <c r="P1681">
        <v>1.3575056141903227E-2</v>
      </c>
      <c r="Q1681">
        <v>4.5871161549865524E-4</v>
      </c>
      <c r="R1681">
        <v>7.7147142771545022E-4</v>
      </c>
      <c r="S1681">
        <v>7.2713904646456815E-2</v>
      </c>
      <c r="T1681">
        <v>0.81409811790987641</v>
      </c>
      <c r="U1681">
        <v>0</v>
      </c>
      <c r="V1681">
        <v>9.0887831302022437E-2</v>
      </c>
      <c r="W1681">
        <v>4.9635201538307756E-2</v>
      </c>
      <c r="X1681">
        <v>7.5233851189266546E-3</v>
      </c>
      <c r="Y1681">
        <v>2.0996909107536578E-3</v>
      </c>
    </row>
    <row r="1682" spans="1:25" x14ac:dyDescent="0.25">
      <c r="A1682" s="1096"/>
      <c r="B1682" s="1455">
        <v>1432</v>
      </c>
      <c r="C1682" s="1100">
        <v>1.0111868190476547</v>
      </c>
      <c r="D1682" s="1100">
        <v>1.0274410573059207</v>
      </c>
      <c r="E1682" s="1100">
        <v>1.0206824387213045</v>
      </c>
      <c r="F1682" s="1100">
        <v>1.0280549583351901</v>
      </c>
      <c r="G1682" s="1100">
        <v>1.0020623710968246</v>
      </c>
      <c r="H1682" s="1100">
        <v>0.97775384891664241</v>
      </c>
      <c r="I1682" s="1100">
        <v>0.98151992917182507</v>
      </c>
      <c r="K1682">
        <v>1.162858964006988</v>
      </c>
      <c r="L1682">
        <v>0</v>
      </c>
      <c r="M1682">
        <v>7.3373880832367942E-4</v>
      </c>
      <c r="N1682">
        <v>7.1866533580081687E-2</v>
      </c>
      <c r="O1682">
        <v>1.0131170139681645E-2</v>
      </c>
      <c r="P1682">
        <v>1.3985684410098471E-2</v>
      </c>
      <c r="Q1682">
        <v>4.4911619585745352E-4</v>
      </c>
      <c r="R1682">
        <v>7.3207678339412563E-4</v>
      </c>
      <c r="S1682">
        <v>6.8906330391893963E-2</v>
      </c>
      <c r="T1682">
        <v>0.84945178817374667</v>
      </c>
      <c r="U1682">
        <v>0</v>
      </c>
      <c r="V1682">
        <v>9.1912807167354144E-2</v>
      </c>
      <c r="W1682">
        <v>4.6639281285386656E-2</v>
      </c>
      <c r="X1682">
        <v>7.5254430124644511E-3</v>
      </c>
      <c r="Y1682">
        <v>1.9924716753520234E-3</v>
      </c>
    </row>
    <row r="1683" spans="1:25" x14ac:dyDescent="0.25">
      <c r="A1683" s="1096"/>
      <c r="B1683" s="1455">
        <v>1433</v>
      </c>
      <c r="C1683" s="1100">
        <v>1.0384179361869486</v>
      </c>
      <c r="D1683" s="1100">
        <v>1.0037560312820366</v>
      </c>
      <c r="E1683" s="1100">
        <v>1.0053943014987441</v>
      </c>
      <c r="F1683" s="1100">
        <v>1.0143413055232988</v>
      </c>
      <c r="G1683" s="1100">
        <v>0.97246852952173524</v>
      </c>
      <c r="H1683" s="1100">
        <v>1.0296483982030027</v>
      </c>
      <c r="I1683" s="1100">
        <v>0.99233083831216806</v>
      </c>
      <c r="K1683">
        <v>1.1545497840815373</v>
      </c>
      <c r="L1683">
        <v>0</v>
      </c>
      <c r="M1683">
        <v>7.8399212774020227E-4</v>
      </c>
      <c r="N1683">
        <v>7.3334150908016621E-2</v>
      </c>
      <c r="O1683">
        <v>9.9531377348290855E-3</v>
      </c>
      <c r="P1683">
        <v>1.3685406053282398E-2</v>
      </c>
      <c r="Q1683">
        <v>4.3454329589247628E-4</v>
      </c>
      <c r="R1683">
        <v>7.8230577535389238E-4</v>
      </c>
      <c r="S1683">
        <v>7.0654837975760096E-2</v>
      </c>
      <c r="T1683">
        <v>0.83914070898285187</v>
      </c>
      <c r="U1683">
        <v>0</v>
      </c>
      <c r="V1683">
        <v>9.0002559804179039E-2</v>
      </c>
      <c r="W1683">
        <v>4.8021671998275825E-2</v>
      </c>
      <c r="X1683">
        <v>7.19527524735255E-3</v>
      </c>
      <c r="Y1683">
        <v>2.1291784334837587E-3</v>
      </c>
    </row>
    <row r="1684" spans="1:25" x14ac:dyDescent="0.25">
      <c r="A1684" s="1096"/>
      <c r="B1684" s="1455">
        <v>1434</v>
      </c>
      <c r="C1684" s="1100">
        <v>1.0079585633719499</v>
      </c>
      <c r="D1684" s="1100">
        <v>0.98715818222952834</v>
      </c>
      <c r="E1684" s="1100">
        <v>1.0419559755208794</v>
      </c>
      <c r="F1684" s="1100">
        <v>0.99946630236708978</v>
      </c>
      <c r="G1684" s="1100">
        <v>0.99911958294595182</v>
      </c>
      <c r="H1684" s="1100">
        <v>0.98912247598844405</v>
      </c>
      <c r="I1684" s="1100">
        <v>0.97573147788956904</v>
      </c>
      <c r="K1684">
        <v>1.1454883022711946</v>
      </c>
      <c r="L1684">
        <v>0</v>
      </c>
      <c r="M1684">
        <v>7.2384088865207858E-4</v>
      </c>
      <c r="N1684">
        <v>7.559421169494078E-2</v>
      </c>
      <c r="O1684">
        <v>1.0334504708235841E-2</v>
      </c>
      <c r="P1684">
        <v>1.3875490271477553E-2</v>
      </c>
      <c r="Q1684">
        <v>4.678609213356354E-4</v>
      </c>
      <c r="R1684">
        <v>7.2222012898944703E-4</v>
      </c>
      <c r="S1684">
        <v>7.0622832565473928E-2</v>
      </c>
      <c r="T1684">
        <v>0.82444374185014235</v>
      </c>
      <c r="U1684">
        <v>0</v>
      </c>
      <c r="V1684">
        <v>9.1869201341340051E-2</v>
      </c>
      <c r="W1684">
        <v>4.8456959544243401E-2</v>
      </c>
      <c r="X1684">
        <v>7.8594750223586595E-3</v>
      </c>
      <c r="Y1684">
        <v>1.9656451113077389E-3</v>
      </c>
    </row>
    <row r="1685" spans="1:25" x14ac:dyDescent="0.25">
      <c r="A1685" s="1096"/>
      <c r="B1685" s="1455">
        <v>1435</v>
      </c>
      <c r="C1685" s="1100">
        <v>0.96320264887803364</v>
      </c>
      <c r="D1685" s="1100">
        <v>1.0049621857639741</v>
      </c>
      <c r="E1685" s="1100">
        <v>0.99399007280435681</v>
      </c>
      <c r="F1685" s="1100">
        <v>0.9828233836101451</v>
      </c>
      <c r="G1685" s="1100">
        <v>1.0104798414011151</v>
      </c>
      <c r="H1685" s="1100">
        <v>1.007092447317014</v>
      </c>
      <c r="I1685" s="1100">
        <v>1.0265610737492936</v>
      </c>
      <c r="K1685">
        <v>1.1458663552135708</v>
      </c>
      <c r="L1685">
        <v>0</v>
      </c>
      <c r="M1685">
        <v>8.4607934686151305E-4</v>
      </c>
      <c r="N1685">
        <v>7.645764137934892E-2</v>
      </c>
      <c r="O1685">
        <v>1.0721345153359577E-2</v>
      </c>
      <c r="P1685">
        <v>1.3369468849180411E-2</v>
      </c>
      <c r="Q1685">
        <v>4.6274636065440173E-4</v>
      </c>
      <c r="R1685">
        <v>8.4421868552740165E-4</v>
      </c>
      <c r="S1685">
        <v>7.7760881084773206E-2</v>
      </c>
      <c r="T1685">
        <v>0.81380883053323283</v>
      </c>
      <c r="U1685">
        <v>0</v>
      </c>
      <c r="V1685">
        <v>9.3489566428997514E-2</v>
      </c>
      <c r="W1685">
        <v>5.0407632780556454E-2</v>
      </c>
      <c r="X1685">
        <v>7.092418339408867E-3</v>
      </c>
      <c r="Y1685">
        <v>2.2976849653906974E-3</v>
      </c>
    </row>
    <row r="1686" spans="1:25" x14ac:dyDescent="0.25">
      <c r="A1686" s="1096"/>
      <c r="B1686" s="1455">
        <v>1436</v>
      </c>
      <c r="C1686" s="1100">
        <v>0.96313892763151721</v>
      </c>
      <c r="D1686" s="1100">
        <v>0.9913437525295723</v>
      </c>
      <c r="E1686" s="1100">
        <v>1.0250042446929337</v>
      </c>
      <c r="F1686" s="1100">
        <v>1.0014404419988501</v>
      </c>
      <c r="G1686" s="1100">
        <v>0.98269267984412556</v>
      </c>
      <c r="H1686" s="1100">
        <v>0.96809496531101114</v>
      </c>
      <c r="I1686" s="1100">
        <v>0.97207271714130727</v>
      </c>
      <c r="K1686">
        <v>1.1522269419626838</v>
      </c>
      <c r="L1686">
        <v>0</v>
      </c>
      <c r="M1686">
        <v>7.6679362767443596E-4</v>
      </c>
      <c r="N1686">
        <v>7.6087794599571282E-2</v>
      </c>
      <c r="O1686">
        <v>1.0791322001498521E-2</v>
      </c>
      <c r="P1686">
        <v>1.3777356713094777E-2</v>
      </c>
      <c r="Q1686">
        <v>4.8043737825770647E-4</v>
      </c>
      <c r="R1686">
        <v>7.6503939938060781E-4</v>
      </c>
      <c r="S1686">
        <v>7.2585125858714225E-2</v>
      </c>
      <c r="T1686">
        <v>0.82717765828385825</v>
      </c>
      <c r="U1686">
        <v>0</v>
      </c>
      <c r="V1686">
        <v>9.2308852351730572E-2</v>
      </c>
      <c r="W1686">
        <v>4.9254338581496311E-2</v>
      </c>
      <c r="X1686">
        <v>7.6836253728102223E-3</v>
      </c>
      <c r="Y1686">
        <v>2.0821850499437872E-3</v>
      </c>
    </row>
    <row r="1687" spans="1:25" x14ac:dyDescent="0.25">
      <c r="A1687" s="1096"/>
      <c r="B1687" s="1455">
        <v>1437</v>
      </c>
      <c r="C1687" s="1100">
        <v>0.98979342667680215</v>
      </c>
      <c r="D1687" s="1100">
        <v>0.99436291795991694</v>
      </c>
      <c r="E1687" s="1100">
        <v>1.0001737519536467</v>
      </c>
      <c r="F1687" s="1100">
        <v>0.98991697862604744</v>
      </c>
      <c r="G1687" s="1100">
        <v>0.99210782668854303</v>
      </c>
      <c r="H1687" s="1100">
        <v>0.99113274822408892</v>
      </c>
      <c r="I1687" s="1100">
        <v>1.0271628458129127</v>
      </c>
      <c r="K1687">
        <v>1.1430198437555141</v>
      </c>
      <c r="L1687">
        <v>0</v>
      </c>
      <c r="M1687">
        <v>8.0337905523245859E-4</v>
      </c>
      <c r="N1687">
        <v>7.396567446884629E-2</v>
      </c>
      <c r="O1687">
        <v>1.0479708458237823E-2</v>
      </c>
      <c r="P1687">
        <v>1.345453407381102E-2</v>
      </c>
      <c r="Q1687">
        <v>4.5514182741827517E-4</v>
      </c>
      <c r="R1687">
        <v>8.0158384937331314E-4</v>
      </c>
      <c r="S1687">
        <v>7.5461329227095753E-2</v>
      </c>
      <c r="T1687">
        <v>0.81927671189577811</v>
      </c>
      <c r="U1687">
        <v>0</v>
      </c>
      <c r="V1687">
        <v>9.2013837582486047E-2</v>
      </c>
      <c r="W1687">
        <v>4.8585402741406568E-2</v>
      </c>
      <c r="X1687">
        <v>7.1476516903426325E-3</v>
      </c>
      <c r="Y1687">
        <v>2.1816469959492295E-3</v>
      </c>
    </row>
    <row r="1688" spans="1:25" x14ac:dyDescent="0.25">
      <c r="A1688" s="1096"/>
      <c r="B1688" s="1455">
        <v>1438</v>
      </c>
      <c r="C1688" s="1100">
        <v>0.99505648150467885</v>
      </c>
      <c r="D1688" s="1100">
        <v>0.98393310115450627</v>
      </c>
      <c r="E1688" s="1100">
        <v>1.0200465758292256</v>
      </c>
      <c r="F1688" s="1100">
        <v>1.0385459231470877</v>
      </c>
      <c r="G1688" s="1100">
        <v>0.98671921059604462</v>
      </c>
      <c r="H1688" s="1100">
        <v>0.99970973346829328</v>
      </c>
      <c r="I1688" s="1100">
        <v>0.98090319464364784</v>
      </c>
      <c r="K1688">
        <v>1.1823605813745757</v>
      </c>
      <c r="L1688">
        <v>0</v>
      </c>
      <c r="M1688">
        <v>7.7671321035741481E-4</v>
      </c>
      <c r="N1688">
        <v>7.5933686520452293E-2</v>
      </c>
      <c r="O1688">
        <v>1.0474928300705949E-2</v>
      </c>
      <c r="P1688">
        <v>1.4145064896669151E-2</v>
      </c>
      <c r="Q1688">
        <v>4.6406165798929368E-4</v>
      </c>
      <c r="R1688">
        <v>7.74992481868631E-4</v>
      </c>
      <c r="S1688">
        <v>7.2440832840088801E-2</v>
      </c>
      <c r="T1688">
        <v>0.85816345004255934</v>
      </c>
      <c r="U1688">
        <v>0</v>
      </c>
      <c r="V1688">
        <v>9.1654358963759675E-2</v>
      </c>
      <c r="W1688">
        <v>4.9297075269681787E-2</v>
      </c>
      <c r="X1688">
        <v>7.6795695517146061E-3</v>
      </c>
      <c r="Y1688">
        <v>2.1092740594434258E-3</v>
      </c>
    </row>
    <row r="1689" spans="1:25" x14ac:dyDescent="0.25">
      <c r="A1689" s="1096"/>
      <c r="B1689" s="1455">
        <v>1439</v>
      </c>
      <c r="C1689" s="1100">
        <v>0.95105677257666854</v>
      </c>
      <c r="D1689" s="1100">
        <v>1.0004011287838019</v>
      </c>
      <c r="E1689" s="1100">
        <v>1.0213171328242812</v>
      </c>
      <c r="F1689" s="1100">
        <v>1.0130220141653512</v>
      </c>
      <c r="G1689" s="1100">
        <v>1.022941634874394</v>
      </c>
      <c r="H1689" s="1100">
        <v>0.97398446096952351</v>
      </c>
      <c r="I1689" s="1100">
        <v>0.98065879631661323</v>
      </c>
      <c r="K1689">
        <v>1.1674445961235551</v>
      </c>
      <c r="L1689">
        <v>0</v>
      </c>
      <c r="M1689">
        <v>7.8441958735110911E-4</v>
      </c>
      <c r="N1689">
        <v>7.6977059863188257E-2</v>
      </c>
      <c r="O1689">
        <v>1.0887455751441342E-2</v>
      </c>
      <c r="P1689">
        <v>1.3924802364395375E-2</v>
      </c>
      <c r="Q1689">
        <v>4.8294690820153573E-4</v>
      </c>
      <c r="R1689">
        <v>7.8263588666485303E-4</v>
      </c>
      <c r="S1689">
        <v>7.4052351708134095E-2</v>
      </c>
      <c r="T1689">
        <v>0.8369883760283825</v>
      </c>
      <c r="U1689">
        <v>0</v>
      </c>
      <c r="V1689">
        <v>9.4355364508731721E-2</v>
      </c>
      <c r="W1689">
        <v>4.9937331495709565E-2</v>
      </c>
      <c r="X1689">
        <v>7.7106143084056371E-3</v>
      </c>
      <c r="Y1689">
        <v>2.1300768876510285E-3</v>
      </c>
    </row>
    <row r="1690" spans="1:25" x14ac:dyDescent="0.25">
      <c r="A1690" s="1096"/>
      <c r="B1690" s="1455">
        <v>1440</v>
      </c>
      <c r="C1690" s="1100">
        <v>0.99237635409973679</v>
      </c>
      <c r="D1690" s="1100">
        <v>0.98722164279396007</v>
      </c>
      <c r="E1690" s="1100">
        <v>1.0220144641207431</v>
      </c>
      <c r="F1690" s="1100">
        <v>0.98198304283714122</v>
      </c>
      <c r="G1690" s="1100">
        <v>0.98858660313786673</v>
      </c>
      <c r="H1690" s="1100">
        <v>1.0113866696946501</v>
      </c>
      <c r="I1690" s="1100">
        <v>1.0016688881839477</v>
      </c>
      <c r="K1690">
        <v>1.1388213840513635</v>
      </c>
      <c r="L1690">
        <v>0</v>
      </c>
      <c r="M1690">
        <v>7.8364105924818282E-4</v>
      </c>
      <c r="N1690">
        <v>7.7069082276018885E-2</v>
      </c>
      <c r="O1690">
        <v>1.0489863641907212E-2</v>
      </c>
      <c r="P1690">
        <v>1.3547223471246095E-2</v>
      </c>
      <c r="Q1690">
        <v>4.6563286704435808E-4</v>
      </c>
      <c r="R1690">
        <v>7.8192502664178312E-4</v>
      </c>
      <c r="S1690">
        <v>7.4531655918631201E-2</v>
      </c>
      <c r="T1690">
        <v>0.81129821725553508</v>
      </c>
      <c r="U1690">
        <v>0</v>
      </c>
      <c r="V1690">
        <v>9.1801804879647342E-2</v>
      </c>
      <c r="W1690">
        <v>4.9976662464566585E-2</v>
      </c>
      <c r="X1690">
        <v>7.5148151483700335E-3</v>
      </c>
      <c r="Y1690">
        <v>2.128142161003176E-3</v>
      </c>
    </row>
    <row r="1691" spans="1:25" x14ac:dyDescent="0.25">
      <c r="A1691" s="1096"/>
      <c r="B1691" s="1455">
        <v>1441</v>
      </c>
      <c r="C1691" s="1100">
        <v>0.97155048172355685</v>
      </c>
      <c r="D1691" s="1100">
        <v>1.0085678220068768</v>
      </c>
      <c r="E1691" s="1100">
        <v>1.0386782281625575</v>
      </c>
      <c r="F1691" s="1100">
        <v>1.005612080191624</v>
      </c>
      <c r="G1691" s="1100">
        <v>0.96937893315361467</v>
      </c>
      <c r="H1691" s="1100">
        <v>0.97936094759444126</v>
      </c>
      <c r="I1691" s="1100">
        <v>1.016474479361257</v>
      </c>
      <c r="K1691">
        <v>1.1573863671348543</v>
      </c>
      <c r="L1691">
        <v>0</v>
      </c>
      <c r="M1691">
        <v>7.4226089675736456E-4</v>
      </c>
      <c r="N1691">
        <v>7.6754575279651016E-2</v>
      </c>
      <c r="O1691">
        <v>1.0629048782863254E-2</v>
      </c>
      <c r="P1691">
        <v>1.3974424960079305E-2</v>
      </c>
      <c r="Q1691">
        <v>4.79647324337016E-4</v>
      </c>
      <c r="R1691">
        <v>7.4058232706458108E-4</v>
      </c>
      <c r="S1691">
        <v>7.5073166024995253E-2</v>
      </c>
      <c r="T1691">
        <v>0.8297272083732663</v>
      </c>
      <c r="U1691">
        <v>0</v>
      </c>
      <c r="V1691">
        <v>9.1519798202900793E-2</v>
      </c>
      <c r="W1691">
        <v>4.9293714748784606E-2</v>
      </c>
      <c r="X1691">
        <v>7.9208410462974343E-3</v>
      </c>
      <c r="Y1691">
        <v>2.0156209613712852E-3</v>
      </c>
    </row>
    <row r="1692" spans="1:25" x14ac:dyDescent="0.25">
      <c r="A1692" s="1096"/>
      <c r="B1692" s="1455">
        <v>1442</v>
      </c>
      <c r="C1692" s="1100">
        <v>0.97590662878185452</v>
      </c>
      <c r="D1692" s="1100">
        <v>0.98223294423448038</v>
      </c>
      <c r="E1692" s="1100">
        <v>0.98989338250237369</v>
      </c>
      <c r="F1692" s="1100">
        <v>1.0040688632158969</v>
      </c>
      <c r="G1692" s="1100">
        <v>1.0187793062780817</v>
      </c>
      <c r="H1692" s="1100">
        <v>1.0036234004813323</v>
      </c>
      <c r="I1692" s="1100">
        <v>1.0341195178227158</v>
      </c>
      <c r="K1692">
        <v>1.1629164632408151</v>
      </c>
      <c r="L1692">
        <v>0</v>
      </c>
      <c r="M1692">
        <v>8.4699710846776509E-4</v>
      </c>
      <c r="N1692">
        <v>7.5597943684508576E-2</v>
      </c>
      <c r="O1692">
        <v>1.0677671558033357E-2</v>
      </c>
      <c r="P1692">
        <v>1.3574468211202706E-2</v>
      </c>
      <c r="Q1692">
        <v>4.5895901452315009E-4</v>
      </c>
      <c r="R1692">
        <v>8.4512799043775849E-4</v>
      </c>
      <c r="S1692">
        <v>7.8070735207525804E-2</v>
      </c>
      <c r="T1692">
        <v>0.83167415648141052</v>
      </c>
      <c r="U1692">
        <v>0</v>
      </c>
      <c r="V1692">
        <v>9.3508945471489163E-2</v>
      </c>
      <c r="W1692">
        <v>4.996312395765113E-2</v>
      </c>
      <c r="X1692">
        <v>7.0921689788962213E-3</v>
      </c>
      <c r="Y1692">
        <v>2.3001597936044057E-3</v>
      </c>
    </row>
    <row r="1693" spans="1:25" x14ac:dyDescent="0.25">
      <c r="A1693" s="1096"/>
      <c r="B1693" s="1455">
        <v>1443</v>
      </c>
      <c r="C1693" s="1100">
        <v>1.0184259418652228</v>
      </c>
      <c r="D1693" s="1100">
        <v>1.0397369352562515</v>
      </c>
      <c r="E1693" s="1100">
        <v>0.99567287257021897</v>
      </c>
      <c r="F1693" s="1100">
        <v>1.0143954594852524</v>
      </c>
      <c r="G1693" s="1100">
        <v>1.0076089816213887</v>
      </c>
      <c r="H1693" s="1100">
        <v>1.0117624941731176</v>
      </c>
      <c r="I1693" s="1100">
        <v>1.0090823666469901</v>
      </c>
      <c r="K1693">
        <v>1.1553524298173479</v>
      </c>
      <c r="L1693">
        <v>0</v>
      </c>
      <c r="M1693">
        <v>7.9028601877967569E-4</v>
      </c>
      <c r="N1693">
        <v>7.1780644726817722E-2</v>
      </c>
      <c r="O1693">
        <v>1.0003479573805783E-2</v>
      </c>
      <c r="P1693">
        <v>1.3630541271938013E-2</v>
      </c>
      <c r="Q1693">
        <v>4.3249545284570844E-4</v>
      </c>
      <c r="R1693">
        <v>7.8855607774462621E-4</v>
      </c>
      <c r="S1693">
        <v>7.1230466869037862E-2</v>
      </c>
      <c r="T1693">
        <v>0.83983820856418012</v>
      </c>
      <c r="U1693">
        <v>0</v>
      </c>
      <c r="V1693">
        <v>9.1972005637296711E-2</v>
      </c>
      <c r="W1693">
        <v>4.7276641654706145E-2</v>
      </c>
      <c r="X1693">
        <v>7.0434863115749003E-3</v>
      </c>
      <c r="Y1693">
        <v>2.1461896961797065E-3</v>
      </c>
    </row>
    <row r="1694" spans="1:25" x14ac:dyDescent="0.25">
      <c r="A1694" s="1096"/>
      <c r="B1694" s="1455">
        <v>1444</v>
      </c>
      <c r="C1694" s="1100">
        <v>1.0130697344983968</v>
      </c>
      <c r="D1694" s="1100">
        <v>0.96518426386278566</v>
      </c>
      <c r="E1694" s="1100">
        <v>0.99098019996794118</v>
      </c>
      <c r="F1694" s="1100">
        <v>0.97208908796863591</v>
      </c>
      <c r="G1694" s="1100">
        <v>0.99092518087878145</v>
      </c>
      <c r="H1694" s="1100">
        <v>1.0127028759711447</v>
      </c>
      <c r="I1694" s="1100">
        <v>1.0012684285311708</v>
      </c>
      <c r="K1694">
        <v>1.1264319569590591</v>
      </c>
      <c r="L1694">
        <v>0</v>
      </c>
      <c r="M1694">
        <v>8.2722988668605809E-4</v>
      </c>
      <c r="N1694">
        <v>7.4078110309705958E-2</v>
      </c>
      <c r="O1694">
        <v>1.0358624720435758E-2</v>
      </c>
      <c r="P1694">
        <v>1.3139989847999816E-2</v>
      </c>
      <c r="Q1694">
        <v>4.4573466464355676E-4</v>
      </c>
      <c r="R1694">
        <v>8.2542075678749237E-4</v>
      </c>
      <c r="S1694">
        <v>7.3847309537324657E-2</v>
      </c>
      <c r="T1694">
        <v>0.80511491252706746</v>
      </c>
      <c r="U1694">
        <v>0</v>
      </c>
      <c r="V1694">
        <v>9.1386642943069626E-2</v>
      </c>
      <c r="W1694">
        <v>4.8926803050262167E-2</v>
      </c>
      <c r="X1694">
        <v>6.8891152883514672E-3</v>
      </c>
      <c r="Y1694">
        <v>2.2465232000962077E-3</v>
      </c>
    </row>
    <row r="1695" spans="1:25" x14ac:dyDescent="0.25">
      <c r="A1695" s="1096"/>
      <c r="B1695" s="1455">
        <v>1445</v>
      </c>
      <c r="C1695" s="1100">
        <v>1.0098459347506847</v>
      </c>
      <c r="D1695" s="1100">
        <v>1.0383988310652916</v>
      </c>
      <c r="E1695" s="1100">
        <v>0.99753738353219834</v>
      </c>
      <c r="F1695" s="1100">
        <v>1.0120761360180652</v>
      </c>
      <c r="G1695" s="1100">
        <v>0.98148988785947888</v>
      </c>
      <c r="H1695" s="1100">
        <v>0.98504825337769231</v>
      </c>
      <c r="I1695" s="1100">
        <v>0.98228083643828679</v>
      </c>
      <c r="K1695">
        <v>1.1481650290189036</v>
      </c>
      <c r="L1695">
        <v>0</v>
      </c>
      <c r="M1695">
        <v>7.733614078135263E-4</v>
      </c>
      <c r="N1695">
        <v>7.0636104863775279E-2</v>
      </c>
      <c r="O1695">
        <v>1.0094265695059095E-2</v>
      </c>
      <c r="P1695">
        <v>1.3578103127582395E-2</v>
      </c>
      <c r="Q1695">
        <v>4.3724077968423166E-4</v>
      </c>
      <c r="R1695">
        <v>7.7162260406101206E-4</v>
      </c>
      <c r="S1695">
        <v>6.8934567566969196E-2</v>
      </c>
      <c r="T1695">
        <v>0.83779285683403593</v>
      </c>
      <c r="U1695">
        <v>0</v>
      </c>
      <c r="V1695">
        <v>9.1062284991141565E-2</v>
      </c>
      <c r="W1695">
        <v>4.6471152679869752E-2</v>
      </c>
      <c r="X1695">
        <v>7.0600889216076712E-3</v>
      </c>
      <c r="Y1695">
        <v>2.1001023629310081E-3</v>
      </c>
    </row>
    <row r="1696" spans="1:25" x14ac:dyDescent="0.25">
      <c r="A1696" s="1096"/>
      <c r="B1696" s="1455">
        <v>1446</v>
      </c>
      <c r="C1696" s="1100">
        <v>1.0074570125829121</v>
      </c>
      <c r="D1696" s="1100">
        <v>1.0333266692807852</v>
      </c>
      <c r="E1696" s="1100">
        <v>1.0176128440851728</v>
      </c>
      <c r="F1696" s="1100">
        <v>1.0120824879289252</v>
      </c>
      <c r="G1696" s="1100">
        <v>0.96631450644369421</v>
      </c>
      <c r="H1696" s="1100">
        <v>0.9769647296430658</v>
      </c>
      <c r="I1696" s="1100">
        <v>1.0169436722195828</v>
      </c>
      <c r="K1696">
        <v>1.1504700995087873</v>
      </c>
      <c r="L1696">
        <v>0</v>
      </c>
      <c r="M1696">
        <v>7.3888494776626638E-4</v>
      </c>
      <c r="N1696">
        <v>7.1703322582062717E-2</v>
      </c>
      <c r="O1696">
        <v>1.0144483446969362E-2</v>
      </c>
      <c r="P1696">
        <v>1.3789526722149888E-2</v>
      </c>
      <c r="Q1696">
        <v>4.4833549354702834E-4</v>
      </c>
      <c r="R1696">
        <v>7.37209914208441E-4</v>
      </c>
      <c r="S1696">
        <v>7.141192128880744E-2</v>
      </c>
      <c r="T1696">
        <v>0.83645795192503558</v>
      </c>
      <c r="U1696">
        <v>0</v>
      </c>
      <c r="V1696">
        <v>9.0475147732629477E-2</v>
      </c>
      <c r="W1696">
        <v>4.6617061492087067E-2</v>
      </c>
      <c r="X1696">
        <v>7.4175814937646181E-3</v>
      </c>
      <c r="Y1696">
        <v>2.0064423652924705E-3</v>
      </c>
    </row>
    <row r="1697" spans="1:25" x14ac:dyDescent="0.25">
      <c r="A1697" s="1096"/>
      <c r="B1697" s="1455">
        <v>1447</v>
      </c>
      <c r="C1697" s="1100">
        <v>1.0202771330706439</v>
      </c>
      <c r="D1697" s="1100">
        <v>0.99113689052104414</v>
      </c>
      <c r="E1697" s="1100">
        <v>0.9771739185647994</v>
      </c>
      <c r="F1697" s="1100">
        <v>0.98939186298370796</v>
      </c>
      <c r="G1697" s="1100">
        <v>0.9889703636113627</v>
      </c>
      <c r="H1697" s="1100">
        <v>1.0349212648256645</v>
      </c>
      <c r="I1697" s="1100">
        <v>1.0225663496929858</v>
      </c>
      <c r="K1697">
        <v>1.1413659571009265</v>
      </c>
      <c r="L1697">
        <v>0</v>
      </c>
      <c r="M1697">
        <v>8.5461352948965129E-4</v>
      </c>
      <c r="N1697">
        <v>7.340362062418089E-2</v>
      </c>
      <c r="O1697">
        <v>1.0172429439039329E-2</v>
      </c>
      <c r="P1697">
        <v>1.3216319141792866E-2</v>
      </c>
      <c r="Q1697">
        <v>4.3163679968288653E-4</v>
      </c>
      <c r="R1697">
        <v>8.5278463761192104E-4</v>
      </c>
      <c r="S1697">
        <v>7.476511717980909E-2</v>
      </c>
      <c r="T1697">
        <v>0.82035700345663209</v>
      </c>
      <c r="U1697">
        <v>0</v>
      </c>
      <c r="V1697">
        <v>9.1128393141459874E-2</v>
      </c>
      <c r="W1697">
        <v>4.8885863611613276E-2</v>
      </c>
      <c r="X1697">
        <v>6.6864039353927871E-3</v>
      </c>
      <c r="Y1697">
        <v>2.3209986631994128E-3</v>
      </c>
    </row>
    <row r="1698" spans="1:25" x14ac:dyDescent="0.25">
      <c r="A1698" s="1096"/>
      <c r="B1698" s="1455">
        <v>1448</v>
      </c>
      <c r="C1698" s="1100">
        <v>1.0256331999141735</v>
      </c>
      <c r="D1698" s="1100">
        <v>1.0111123281032803</v>
      </c>
      <c r="E1698" s="1100">
        <v>0.98793490878152723</v>
      </c>
      <c r="F1698" s="1100">
        <v>1.0284533732792105</v>
      </c>
      <c r="G1698" s="1100">
        <v>0.99205553124238932</v>
      </c>
      <c r="H1698" s="1100">
        <v>1.0082470697275958</v>
      </c>
      <c r="I1698" s="1100">
        <v>0.97035494958119528</v>
      </c>
      <c r="K1698">
        <v>1.163752667389877</v>
      </c>
      <c r="L1698">
        <v>0</v>
      </c>
      <c r="M1698">
        <v>8.0356609521594388E-4</v>
      </c>
      <c r="N1698">
        <v>7.1298806802756021E-2</v>
      </c>
      <c r="O1698">
        <v>1.0042270846408496E-2</v>
      </c>
      <c r="P1698">
        <v>1.3672282383869559E-2</v>
      </c>
      <c r="Q1698">
        <v>4.3079340637287709E-4</v>
      </c>
      <c r="R1698">
        <v>8.0180095091960106E-4</v>
      </c>
      <c r="S1698">
        <v>6.8851111682347532E-2</v>
      </c>
      <c r="T1698">
        <v>0.85200601378549135</v>
      </c>
      <c r="U1698">
        <v>0</v>
      </c>
      <c r="V1698">
        <v>9.1134943777800861E-2</v>
      </c>
      <c r="W1698">
        <v>4.7177164633642923E-2</v>
      </c>
      <c r="X1698">
        <v>6.9588073406919877E-3</v>
      </c>
      <c r="Y1698">
        <v>2.1822378747907195E-3</v>
      </c>
    </row>
    <row r="1699" spans="1:25" x14ac:dyDescent="0.25">
      <c r="A1699" s="1096"/>
      <c r="B1699" s="1455">
        <v>1449</v>
      </c>
      <c r="C1699" s="1100">
        <v>0.96200124107951002</v>
      </c>
      <c r="D1699" s="1100">
        <v>0.99701927754313346</v>
      </c>
      <c r="E1699" s="1100">
        <v>1.0179662346635319</v>
      </c>
      <c r="F1699" s="1100">
        <v>1.0006341328326307</v>
      </c>
      <c r="G1699" s="1100">
        <v>1.0098117120242667</v>
      </c>
      <c r="H1699" s="1100">
        <v>1.0369916394655465</v>
      </c>
      <c r="I1699" s="1100">
        <v>0.97179647151840842</v>
      </c>
      <c r="K1699">
        <v>1.1640976997588157</v>
      </c>
      <c r="L1699">
        <v>0</v>
      </c>
      <c r="M1699">
        <v>8.3256565210599839E-4</v>
      </c>
      <c r="N1699">
        <v>8.089117516534565E-2</v>
      </c>
      <c r="O1699">
        <v>1.0777035837065947E-2</v>
      </c>
      <c r="P1699">
        <v>1.3757145676266506E-2</v>
      </c>
      <c r="Q1699">
        <v>4.7645871378109941E-4</v>
      </c>
      <c r="R1699">
        <v>8.307875003917732E-4</v>
      </c>
      <c r="S1699">
        <v>7.526427109955143E-2</v>
      </c>
      <c r="T1699">
        <v>0.82697299856991302</v>
      </c>
      <c r="U1699">
        <v>0</v>
      </c>
      <c r="V1699">
        <v>9.3497050780852256E-2</v>
      </c>
      <c r="W1699">
        <v>5.2579543479298031E-2</v>
      </c>
      <c r="X1699">
        <v>7.6226688814154901E-3</v>
      </c>
      <c r="Y1699">
        <v>2.2611297070405066E-3</v>
      </c>
    </row>
    <row r="1700" spans="1:25" x14ac:dyDescent="0.25">
      <c r="A1700" s="1096"/>
      <c r="B1700" s="1455">
        <v>1450</v>
      </c>
      <c r="C1700" s="1100">
        <v>0.99330498489346941</v>
      </c>
      <c r="D1700" s="1100">
        <v>0.98700536668048178</v>
      </c>
      <c r="E1700" s="1100">
        <v>0.98632430800082482</v>
      </c>
      <c r="F1700" s="1100">
        <v>1.003948957086054</v>
      </c>
      <c r="G1700" s="1100">
        <v>1.013119521317114</v>
      </c>
      <c r="H1700" s="1100">
        <v>1.0212751377736196</v>
      </c>
      <c r="I1700" s="1100">
        <v>1.0009150663989546</v>
      </c>
      <c r="K1700">
        <v>1.1580719846373297</v>
      </c>
      <c r="L1700">
        <v>0</v>
      </c>
      <c r="M1700">
        <v>8.5142580962774489E-4</v>
      </c>
      <c r="N1700">
        <v>7.5180359926178789E-2</v>
      </c>
      <c r="O1700">
        <v>1.0469146032353641E-2</v>
      </c>
      <c r="P1700">
        <v>1.3486077269918817E-2</v>
      </c>
      <c r="Q1700">
        <v>4.4837381511162458E-4</v>
      </c>
      <c r="R1700">
        <v>8.49579393310616E-4</v>
      </c>
      <c r="S1700">
        <v>7.4778879851752092E-2</v>
      </c>
      <c r="T1700">
        <v>0.83181344003243829</v>
      </c>
      <c r="U1700">
        <v>0</v>
      </c>
      <c r="V1700">
        <v>9.2821723790007957E-2</v>
      </c>
      <c r="W1700">
        <v>4.9793649237497996E-2</v>
      </c>
      <c r="X1700">
        <v>6.969906053567408E-3</v>
      </c>
      <c r="Y1700">
        <v>2.3122750448197602E-3</v>
      </c>
    </row>
    <row r="1701" spans="1:25" x14ac:dyDescent="0.25">
      <c r="A1701" s="1096"/>
      <c r="B1701" s="1455">
        <v>1451</v>
      </c>
      <c r="C1701" s="1100">
        <v>1.0245998942618413</v>
      </c>
      <c r="D1701" s="1100">
        <v>0.97798688877667006</v>
      </c>
      <c r="E1701" s="1100">
        <v>1.0313326314817095</v>
      </c>
      <c r="F1701" s="1100">
        <v>0.98320486126809881</v>
      </c>
      <c r="G1701" s="1100">
        <v>0.99178855104481711</v>
      </c>
      <c r="H1701" s="1100">
        <v>0.99239189548784057</v>
      </c>
      <c r="I1701" s="1100">
        <v>0.99662394901803575</v>
      </c>
      <c r="K1701">
        <v>1.1300855780462105</v>
      </c>
      <c r="L1701">
        <v>0</v>
      </c>
      <c r="M1701">
        <v>7.3317796584182774E-4</v>
      </c>
      <c r="N1701">
        <v>7.4157759644350049E-2</v>
      </c>
      <c r="O1701">
        <v>1.0201240554525794E-2</v>
      </c>
      <c r="P1701">
        <v>1.3592888074416968E-2</v>
      </c>
      <c r="Q1701">
        <v>4.5701996540946978E-4</v>
      </c>
      <c r="R1701">
        <v>7.3154170787672191E-4</v>
      </c>
      <c r="S1701">
        <v>7.1423356700783064E-2</v>
      </c>
      <c r="T1701">
        <v>0.81170903742150602</v>
      </c>
      <c r="U1701">
        <v>0</v>
      </c>
      <c r="V1701">
        <v>9.1154513990233749E-2</v>
      </c>
      <c r="W1701">
        <v>4.7828683789220103E-2</v>
      </c>
      <c r="X1701">
        <v>7.5716987875489462E-3</v>
      </c>
      <c r="Y1701">
        <v>1.9910153761812468E-3</v>
      </c>
    </row>
    <row r="1702" spans="1:25" x14ac:dyDescent="0.25">
      <c r="A1702" s="1096"/>
      <c r="B1702" s="1455">
        <v>1452</v>
      </c>
      <c r="C1702" s="1100">
        <v>0.97677823094230853</v>
      </c>
      <c r="D1702" s="1100">
        <v>1.0327043575105301</v>
      </c>
      <c r="E1702" s="1100">
        <v>0.98066489294966497</v>
      </c>
      <c r="F1702" s="1100">
        <v>0.96589398877272592</v>
      </c>
      <c r="G1702" s="1100">
        <v>1.0227973444235812</v>
      </c>
      <c r="H1702" s="1100">
        <v>1.0128993597686429</v>
      </c>
      <c r="I1702" s="1100">
        <v>0.97906117649449975</v>
      </c>
      <c r="K1702">
        <v>1.1228364461373321</v>
      </c>
      <c r="L1702">
        <v>0</v>
      </c>
      <c r="M1702">
        <v>8.5325635840005523E-4</v>
      </c>
      <c r="N1702">
        <v>7.4061857820713464E-2</v>
      </c>
      <c r="O1702">
        <v>1.0453404033280109E-2</v>
      </c>
      <c r="P1702">
        <v>1.2988066678371882E-2</v>
      </c>
      <c r="Q1702">
        <v>4.4513671210616608E-4</v>
      </c>
      <c r="R1702">
        <v>8.5139067127484403E-4</v>
      </c>
      <c r="S1702">
        <v>7.2336983099136415E-2</v>
      </c>
      <c r="T1702">
        <v>0.80064813894033227</v>
      </c>
      <c r="U1702">
        <v>0</v>
      </c>
      <c r="V1702">
        <v>9.3656880202523773E-2</v>
      </c>
      <c r="W1702">
        <v>4.9220289495874169E-2</v>
      </c>
      <c r="X1702">
        <v>6.710350095767174E-3</v>
      </c>
      <c r="Y1702">
        <v>2.3172047463507679E-3</v>
      </c>
    </row>
    <row r="1703" spans="1:25" x14ac:dyDescent="0.25">
      <c r="A1703" s="1096"/>
      <c r="B1703" s="1455">
        <v>1453</v>
      </c>
      <c r="C1703" s="1100">
        <v>1.017633139409277</v>
      </c>
      <c r="D1703" s="1100">
        <v>0.99289732828614785</v>
      </c>
      <c r="E1703" s="1100">
        <v>0.98703690641318376</v>
      </c>
      <c r="F1703" s="1100">
        <v>1.0010886985716947</v>
      </c>
      <c r="G1703" s="1100">
        <v>1.0125535996375861</v>
      </c>
      <c r="H1703" s="1100">
        <v>1.022356975054264</v>
      </c>
      <c r="I1703" s="1100">
        <v>0.99026972177310113</v>
      </c>
      <c r="K1703">
        <v>1.1487151661348813</v>
      </c>
      <c r="L1703">
        <v>0</v>
      </c>
      <c r="M1703">
        <v>8.287498165079674E-4</v>
      </c>
      <c r="N1703">
        <v>7.3336123142130463E-2</v>
      </c>
      <c r="O1703">
        <v>1.0194794378976699E-2</v>
      </c>
      <c r="P1703">
        <v>1.3415294307496372E-2</v>
      </c>
      <c r="Q1703">
        <v>4.3693903113077587E-4</v>
      </c>
      <c r="R1703">
        <v>8.2695447753404103E-4</v>
      </c>
      <c r="S1703">
        <v>7.203878943389698E-2</v>
      </c>
      <c r="T1703">
        <v>0.82939606059218796</v>
      </c>
      <c r="U1703">
        <v>0</v>
      </c>
      <c r="V1703">
        <v>9.2201275036537328E-2</v>
      </c>
      <c r="W1703">
        <v>4.8551384537543346E-2</v>
      </c>
      <c r="X1703">
        <v>6.895603531576748E-3</v>
      </c>
      <c r="Y1703">
        <v>2.2506974823774052E-3</v>
      </c>
    </row>
    <row r="1704" spans="1:25" x14ac:dyDescent="0.25">
      <c r="A1704" s="1096"/>
      <c r="B1704" s="1455">
        <v>1454</v>
      </c>
      <c r="C1704" s="1100">
        <v>0.99172659036981081</v>
      </c>
      <c r="D1704" s="1100">
        <v>1.0449199795508546</v>
      </c>
      <c r="E1704" s="1100">
        <v>1.0062043529608093</v>
      </c>
      <c r="F1704" s="1100">
        <v>1.0245567409728675</v>
      </c>
      <c r="G1704" s="1100">
        <v>0.99146623789412403</v>
      </c>
      <c r="H1704" s="1100">
        <v>1.005355282486216</v>
      </c>
      <c r="I1704" s="1100">
        <v>0.98028720007747339</v>
      </c>
      <c r="K1704">
        <v>1.1662659397494803</v>
      </c>
      <c r="L1704">
        <v>0</v>
      </c>
      <c r="M1704">
        <v>7.8742681042478526E-4</v>
      </c>
      <c r="N1704">
        <v>7.3831986808138905E-2</v>
      </c>
      <c r="O1704">
        <v>1.0255797209902521E-2</v>
      </c>
      <c r="P1704">
        <v>1.3834946365417423E-2</v>
      </c>
      <c r="Q1704">
        <v>4.481206481897724E-4</v>
      </c>
      <c r="R1704">
        <v>7.8569214304657442E-4</v>
      </c>
      <c r="S1704">
        <v>7.0639119522910382E-2</v>
      </c>
      <c r="T1704">
        <v>0.84753690820751659</v>
      </c>
      <c r="U1704">
        <v>0</v>
      </c>
      <c r="V1704">
        <v>9.193856944773901E-2</v>
      </c>
      <c r="W1704">
        <v>4.8324506535296345E-2</v>
      </c>
      <c r="X1704">
        <v>7.3193246617187279E-3</v>
      </c>
      <c r="Y1704">
        <v>2.1383950100274289E-3</v>
      </c>
    </row>
    <row r="1705" spans="1:25" x14ac:dyDescent="0.25">
      <c r="A1705" s="1096"/>
      <c r="B1705" s="1455">
        <v>1455</v>
      </c>
      <c r="C1705" s="1100">
        <v>0.98588826113825068</v>
      </c>
      <c r="D1705" s="1100">
        <v>1.0105420956725728</v>
      </c>
      <c r="E1705" s="1100">
        <v>0.99574311795300241</v>
      </c>
      <c r="F1705" s="1100">
        <v>1.0219487960544933</v>
      </c>
      <c r="G1705" s="1100">
        <v>1.0010525084962707</v>
      </c>
      <c r="H1705" s="1100">
        <v>1.0352894904607821</v>
      </c>
      <c r="I1705" s="1100">
        <v>0.98483575423587399</v>
      </c>
      <c r="K1705">
        <v>1.1738614910904557</v>
      </c>
      <c r="L1705">
        <v>0</v>
      </c>
      <c r="M1705">
        <v>8.447995460413903E-4</v>
      </c>
      <c r="N1705">
        <v>7.6752154730354447E-2</v>
      </c>
      <c r="O1705">
        <v>1.0452048993482727E-2</v>
      </c>
      <c r="P1705">
        <v>1.3758506415870035E-2</v>
      </c>
      <c r="Q1705">
        <v>4.5192111269340489E-4</v>
      </c>
      <c r="R1705">
        <v>8.4299229932507577E-4</v>
      </c>
      <c r="S1705">
        <v>7.3820163953986037E-2</v>
      </c>
      <c r="T1705">
        <v>0.84608700374811974</v>
      </c>
      <c r="U1705">
        <v>0</v>
      </c>
      <c r="V1705">
        <v>9.2494753134067687E-2</v>
      </c>
      <c r="W1705">
        <v>5.0548892735141529E-2</v>
      </c>
      <c r="X1705">
        <v>7.2035063670298546E-3</v>
      </c>
      <c r="Y1705">
        <v>2.2943471464260692E-3</v>
      </c>
    </row>
    <row r="1706" spans="1:25" x14ac:dyDescent="0.25">
      <c r="A1706" s="1096"/>
      <c r="B1706" s="1455">
        <v>1456</v>
      </c>
      <c r="C1706" s="1100">
        <v>0.96150499677996926</v>
      </c>
      <c r="D1706" s="1100">
        <v>1.0063306959601654</v>
      </c>
      <c r="E1706" s="1100">
        <v>0.97941351359208351</v>
      </c>
      <c r="F1706" s="1100">
        <v>1.0173992838818231</v>
      </c>
      <c r="G1706" s="1100">
        <v>1.0337525482447436</v>
      </c>
      <c r="H1706" s="1100">
        <v>0.99843789359417923</v>
      </c>
      <c r="I1706" s="1100">
        <v>1.0116703538518457</v>
      </c>
      <c r="K1706">
        <v>1.1730169348580846</v>
      </c>
      <c r="L1706">
        <v>0</v>
      </c>
      <c r="M1706">
        <v>8.655588770752991E-4</v>
      </c>
      <c r="N1706">
        <v>7.4843408334969011E-2</v>
      </c>
      <c r="O1706">
        <v>1.0729491396125813E-2</v>
      </c>
      <c r="P1706">
        <v>1.3615167631763932E-2</v>
      </c>
      <c r="Q1706">
        <v>4.5631258436811407E-4</v>
      </c>
      <c r="R1706">
        <v>8.6363887747931221E-4</v>
      </c>
      <c r="S1706">
        <v>7.6327276157720503E-2</v>
      </c>
      <c r="T1706">
        <v>0.84342698175679875</v>
      </c>
      <c r="U1706">
        <v>0</v>
      </c>
      <c r="V1706">
        <v>9.4528132765266573E-2</v>
      </c>
      <c r="W1706">
        <v>4.9777292031755502E-2</v>
      </c>
      <c r="X1706">
        <v>6.9642518728909282E-3</v>
      </c>
      <c r="Y1706">
        <v>2.3505403260192415E-3</v>
      </c>
    </row>
    <row r="1707" spans="1:25" x14ac:dyDescent="0.25">
      <c r="A1707" s="1096"/>
      <c r="B1707" s="1455">
        <v>1457</v>
      </c>
      <c r="C1707" s="1100">
        <v>0.98946132725700153</v>
      </c>
      <c r="D1707" s="1100">
        <v>0.96809835990422599</v>
      </c>
      <c r="E1707" s="1100">
        <v>1.0149508388207795</v>
      </c>
      <c r="F1707" s="1100">
        <v>1.0178057968940946</v>
      </c>
      <c r="G1707" s="1100">
        <v>0.97024192528872022</v>
      </c>
      <c r="H1707" s="1100">
        <v>1.0095066380128279</v>
      </c>
      <c r="I1707" s="1100">
        <v>1.0087255561404587</v>
      </c>
      <c r="K1707">
        <v>1.1706562804781719</v>
      </c>
      <c r="L1707">
        <v>0</v>
      </c>
      <c r="M1707">
        <v>8.0235426359822075E-4</v>
      </c>
      <c r="N1707">
        <v>7.7245252310794377E-2</v>
      </c>
      <c r="O1707">
        <v>1.0601034905655182E-2</v>
      </c>
      <c r="P1707">
        <v>1.3901281430321943E-2</v>
      </c>
      <c r="Q1707">
        <v>4.672720117309075E-4</v>
      </c>
      <c r="R1707">
        <v>8.0059398031915804E-4</v>
      </c>
      <c r="S1707">
        <v>7.5949683658179085E-2</v>
      </c>
      <c r="T1707">
        <v>0.84136605321339497</v>
      </c>
      <c r="U1707">
        <v>0</v>
      </c>
      <c r="V1707">
        <v>9.1090046017431286E-2</v>
      </c>
      <c r="W1707">
        <v>5.0298584991998303E-2</v>
      </c>
      <c r="X1707">
        <v>7.5598793232497623E-3</v>
      </c>
      <c r="Y1707">
        <v>2.1789528986940641E-3</v>
      </c>
    </row>
    <row r="1708" spans="1:25" x14ac:dyDescent="0.25">
      <c r="A1708" s="1096"/>
      <c r="B1708" s="1455">
        <v>1458</v>
      </c>
      <c r="C1708" s="1100">
        <v>1.0051581503338733</v>
      </c>
      <c r="D1708" s="1100">
        <v>0.96782401766005588</v>
      </c>
      <c r="E1708" s="1100">
        <v>0.99267914647576527</v>
      </c>
      <c r="F1708" s="1100">
        <v>1.0002303472412311</v>
      </c>
      <c r="G1708" s="1100">
        <v>0.98897326302117194</v>
      </c>
      <c r="H1708" s="1100">
        <v>0.98738045859835255</v>
      </c>
      <c r="I1708" s="1100">
        <v>1.014535599820253</v>
      </c>
      <c r="K1708">
        <v>1.1485329137488056</v>
      </c>
      <c r="L1708">
        <v>0</v>
      </c>
      <c r="M1708">
        <v>8.0915294017383217E-4</v>
      </c>
      <c r="N1708">
        <v>7.2828338861168268E-2</v>
      </c>
      <c r="O1708">
        <v>1.04293174613359E-2</v>
      </c>
      <c r="P1708">
        <v>1.3478282530382212E-2</v>
      </c>
      <c r="Q1708">
        <v>4.4954712845452161E-4</v>
      </c>
      <c r="R1708">
        <v>8.0733796091389727E-4</v>
      </c>
      <c r="S1708">
        <v>7.425775805614053E-2</v>
      </c>
      <c r="T1708">
        <v>0.82830943924683598</v>
      </c>
      <c r="U1708">
        <v>0</v>
      </c>
      <c r="V1708">
        <v>9.1495953276905864E-2</v>
      </c>
      <c r="W1708">
        <v>4.8052498579429642E-2</v>
      </c>
      <c r="X1708">
        <v>7.0362857966899499E-3</v>
      </c>
      <c r="Y1708">
        <v>2.1973077907203394E-3</v>
      </c>
    </row>
    <row r="1709" spans="1:25" x14ac:dyDescent="0.25">
      <c r="A1709" s="1096"/>
      <c r="B1709" s="1455">
        <v>1459</v>
      </c>
      <c r="C1709" s="1100">
        <v>0.9577597092107476</v>
      </c>
      <c r="D1709" s="1100">
        <v>0.99053108684242308</v>
      </c>
      <c r="E1709" s="1100">
        <v>1.00482695235274</v>
      </c>
      <c r="F1709" s="1100">
        <v>0.99844595487867027</v>
      </c>
      <c r="G1709" s="1100">
        <v>1.0146330251822924</v>
      </c>
      <c r="H1709" s="1100">
        <v>1.0239185657231027</v>
      </c>
      <c r="I1709" s="1100">
        <v>0.98974218474177633</v>
      </c>
      <c r="K1709">
        <v>1.1626631551066073</v>
      </c>
      <c r="L1709">
        <v>0</v>
      </c>
      <c r="M1709">
        <v>8.507840084952949E-4</v>
      </c>
      <c r="N1709">
        <v>7.9444622836569487E-2</v>
      </c>
      <c r="O1709">
        <v>1.0848554058781644E-2</v>
      </c>
      <c r="P1709">
        <v>1.3635023226733449E-2</v>
      </c>
      <c r="Q1709">
        <v>4.7336694034380561E-4</v>
      </c>
      <c r="R1709">
        <v>8.4894374725788372E-4</v>
      </c>
      <c r="S1709">
        <v>7.668286492257341E-2</v>
      </c>
      <c r="T1709">
        <v>0.82602826824475406</v>
      </c>
      <c r="U1709">
        <v>0</v>
      </c>
      <c r="V1709">
        <v>9.3815053741673371E-2</v>
      </c>
      <c r="W1709">
        <v>5.2040489385478457E-2</v>
      </c>
      <c r="X1709">
        <v>7.3862069851317576E-3</v>
      </c>
      <c r="Y1709">
        <v>2.3105450258048884E-3</v>
      </c>
    </row>
    <row r="1710" spans="1:25" x14ac:dyDescent="0.25">
      <c r="A1710" s="1096"/>
      <c r="B1710" s="1455">
        <v>1460</v>
      </c>
      <c r="C1710" s="1100">
        <v>1.0233671100710431</v>
      </c>
      <c r="D1710" s="1100">
        <v>1.0277278966142251</v>
      </c>
      <c r="E1710" s="1100">
        <v>1.0048092416654044</v>
      </c>
      <c r="F1710" s="1100">
        <v>1.0169535501546625</v>
      </c>
      <c r="G1710" s="1100">
        <v>0.99366861456057276</v>
      </c>
      <c r="H1710" s="1100">
        <v>0.96398408317761075</v>
      </c>
      <c r="I1710" s="1100">
        <v>0.99940594215468725</v>
      </c>
      <c r="K1710">
        <v>1.1488136585036304</v>
      </c>
      <c r="L1710">
        <v>0</v>
      </c>
      <c r="M1710">
        <v>7.3868762672283728E-4</v>
      </c>
      <c r="N1710">
        <v>6.8964286627679644E-2</v>
      </c>
      <c r="O1710">
        <v>1.000443825426567E-2</v>
      </c>
      <c r="P1710">
        <v>1.3700791567354825E-2</v>
      </c>
      <c r="Q1710">
        <v>4.3652695258688992E-4</v>
      </c>
      <c r="R1710">
        <v>7.3699049113952237E-4</v>
      </c>
      <c r="S1710">
        <v>6.8758020487782082E-2</v>
      </c>
      <c r="T1710">
        <v>0.84134104962364831</v>
      </c>
      <c r="U1710">
        <v>0</v>
      </c>
      <c r="V1710">
        <v>9.1259803603322448E-2</v>
      </c>
      <c r="W1710">
        <v>4.5175780726160818E-2</v>
      </c>
      <c r="X1710">
        <v>7.1688126283804415E-3</v>
      </c>
      <c r="Y1710">
        <v>2.0058451680316693E-3</v>
      </c>
    </row>
    <row r="1711" spans="1:25" x14ac:dyDescent="0.25">
      <c r="A1711" s="1096"/>
      <c r="B1711" s="1455">
        <v>1461</v>
      </c>
      <c r="C1711" s="1100">
        <v>1.0249781284644879</v>
      </c>
      <c r="D1711" s="1100">
        <v>0.99623561920523596</v>
      </c>
      <c r="E1711" s="1100">
        <v>0.97490067286667759</v>
      </c>
      <c r="F1711" s="1100">
        <v>0.97416941945787605</v>
      </c>
      <c r="G1711" s="1100">
        <v>0.98896567102622734</v>
      </c>
      <c r="H1711" s="1100">
        <v>1.0061802481624527</v>
      </c>
      <c r="I1711" s="1100">
        <v>1.0155860275432194</v>
      </c>
      <c r="K1711">
        <v>1.1217005305632299</v>
      </c>
      <c r="L1711">
        <v>0</v>
      </c>
      <c r="M1711">
        <v>8.2925971620813181E-4</v>
      </c>
      <c r="N1711">
        <v>7.0733264614233043E-2</v>
      </c>
      <c r="O1711">
        <v>1.0104288691008078E-2</v>
      </c>
      <c r="P1711">
        <v>1.2995525621871132E-2</v>
      </c>
      <c r="Q1711">
        <v>4.2775378441384921E-4</v>
      </c>
      <c r="R1711">
        <v>8.2743439054848867E-4</v>
      </c>
      <c r="S1711">
        <v>7.2557962655656574E-2</v>
      </c>
      <c r="T1711">
        <v>0.80788360163029316</v>
      </c>
      <c r="U1711">
        <v>0</v>
      </c>
      <c r="V1711">
        <v>9.1016536758278213E-2</v>
      </c>
      <c r="W1711">
        <v>4.717235067992525E-2</v>
      </c>
      <c r="X1711">
        <v>6.559067805809591E-3</v>
      </c>
      <c r="Y1711">
        <v>2.252003647399449E-3</v>
      </c>
    </row>
    <row r="1712" spans="1:25" x14ac:dyDescent="0.25">
      <c r="A1712" s="1096"/>
      <c r="B1712" s="1455">
        <v>1462</v>
      </c>
      <c r="C1712" s="1100">
        <v>1.0228000223400335</v>
      </c>
      <c r="D1712" s="1100">
        <v>1.0290402911737617</v>
      </c>
      <c r="E1712" s="1100">
        <v>1.0202804445918747</v>
      </c>
      <c r="F1712" s="1100">
        <v>1.0182223729068245</v>
      </c>
      <c r="G1712" s="1100">
        <v>0.99639766942406005</v>
      </c>
      <c r="H1712" s="1100">
        <v>1.0028216680291158</v>
      </c>
      <c r="I1712" s="1100">
        <v>1.00269718871227</v>
      </c>
      <c r="K1712">
        <v>1.1571640285546008</v>
      </c>
      <c r="L1712">
        <v>0</v>
      </c>
      <c r="M1712">
        <v>7.4416532068504674E-4</v>
      </c>
      <c r="N1712">
        <v>7.2803560242262561E-2</v>
      </c>
      <c r="O1712">
        <v>1.0009780627975353E-2</v>
      </c>
      <c r="P1712">
        <v>1.388474874863866E-2</v>
      </c>
      <c r="Q1712">
        <v>4.4355772987618398E-4</v>
      </c>
      <c r="R1712">
        <v>7.4252181467715831E-4</v>
      </c>
      <c r="S1712">
        <v>7.0526464193932201E-2</v>
      </c>
      <c r="T1712">
        <v>0.84135423721370983</v>
      </c>
      <c r="U1712">
        <v>0</v>
      </c>
      <c r="V1712">
        <v>9.1392260931248775E-2</v>
      </c>
      <c r="W1712">
        <v>4.7258493334793067E-2</v>
      </c>
      <c r="X1712">
        <v>7.4716694308706701E-3</v>
      </c>
      <c r="Y1712">
        <v>2.0208996073008004E-3</v>
      </c>
    </row>
    <row r="1713" spans="1:25" x14ac:dyDescent="0.25">
      <c r="A1713" s="1096"/>
      <c r="B1713" s="1455">
        <v>1463</v>
      </c>
      <c r="C1713" s="1100">
        <v>0.9959014629848616</v>
      </c>
      <c r="D1713" s="1100">
        <v>1.0350717591075351</v>
      </c>
      <c r="E1713" s="1100">
        <v>0.99501412854922711</v>
      </c>
      <c r="F1713" s="1100">
        <v>0.97325672531743601</v>
      </c>
      <c r="G1713" s="1100">
        <v>1.0048165270441034</v>
      </c>
      <c r="H1713" s="1100">
        <v>0.97744850516992365</v>
      </c>
      <c r="I1713" s="1100">
        <v>0.97799087735746115</v>
      </c>
      <c r="K1713">
        <v>1.1182648362081107</v>
      </c>
      <c r="L1713">
        <v>0</v>
      </c>
      <c r="M1713">
        <v>7.8322565262013732E-4</v>
      </c>
      <c r="N1713">
        <v>7.0992403355877545E-2</v>
      </c>
      <c r="O1713">
        <v>1.0247934367173679E-2</v>
      </c>
      <c r="P1713">
        <v>1.3142920155617958E-2</v>
      </c>
      <c r="Q1713">
        <v>4.4277029642741543E-4</v>
      </c>
      <c r="R1713">
        <v>7.8145097858868529E-4</v>
      </c>
      <c r="S1713">
        <v>6.9406965997926617E-2</v>
      </c>
      <c r="T1713">
        <v>0.80582117336487569</v>
      </c>
      <c r="U1713">
        <v>0</v>
      </c>
      <c r="V1713">
        <v>9.240285575529357E-2</v>
      </c>
      <c r="W1713">
        <v>4.6775862544355278E-2</v>
      </c>
      <c r="X1713">
        <v>6.9068730861207642E-3</v>
      </c>
      <c r="Y1713">
        <v>2.1268519584725421E-3</v>
      </c>
    </row>
    <row r="1714" spans="1:25" x14ac:dyDescent="0.25">
      <c r="A1714" s="1096"/>
      <c r="B1714" s="1455">
        <v>1464</v>
      </c>
      <c r="C1714" s="1100">
        <v>0.99055197438910114</v>
      </c>
      <c r="D1714" s="1100">
        <v>0.97254237784306896</v>
      </c>
      <c r="E1714" s="1100">
        <v>1.0214268416780252</v>
      </c>
      <c r="F1714" s="1100">
        <v>0.99240261733684509</v>
      </c>
      <c r="G1714" s="1100">
        <v>1.0033521723036649</v>
      </c>
      <c r="H1714" s="1100">
        <v>1.0211164091276923</v>
      </c>
      <c r="I1714" s="1100">
        <v>0.98704027189546395</v>
      </c>
      <c r="K1714">
        <v>1.150651022011153</v>
      </c>
      <c r="L1714">
        <v>0</v>
      </c>
      <c r="M1714">
        <v>7.9837684205564478E-4</v>
      </c>
      <c r="N1714">
        <v>7.8380896723697663E-2</v>
      </c>
      <c r="O1714">
        <v>1.057215066622447E-2</v>
      </c>
      <c r="P1714">
        <v>1.3670701114476885E-2</v>
      </c>
      <c r="Q1714">
        <v>4.690116840636591E-4</v>
      </c>
      <c r="R1714">
        <v>7.9664519948557814E-4</v>
      </c>
      <c r="S1714">
        <v>7.4544558034832994E-2</v>
      </c>
      <c r="T1714">
        <v>0.81994489546444649</v>
      </c>
      <c r="U1714">
        <v>0</v>
      </c>
      <c r="V1714">
        <v>9.2478786019078399E-2</v>
      </c>
      <c r="W1714">
        <v>5.0844782560952977E-2</v>
      </c>
      <c r="X1714">
        <v>7.5787657669682054E-3</v>
      </c>
      <c r="Y1714">
        <v>2.1682056189803118E-3</v>
      </c>
    </row>
    <row r="1715" spans="1:25" x14ac:dyDescent="0.25">
      <c r="A1715" s="1096"/>
      <c r="B1715" s="1455">
        <v>1465</v>
      </c>
      <c r="C1715" s="1100">
        <v>1.0035995492713887</v>
      </c>
      <c r="D1715" s="1100">
        <v>0.99076847634570697</v>
      </c>
      <c r="E1715" s="1100">
        <v>0.98465631896356498</v>
      </c>
      <c r="F1715" s="1100">
        <v>1.0054901279144943</v>
      </c>
      <c r="G1715" s="1100">
        <v>1.014783501777081</v>
      </c>
      <c r="H1715" s="1100">
        <v>1.0001769088630978</v>
      </c>
      <c r="I1715" s="1100">
        <v>0.97314296390653809</v>
      </c>
      <c r="K1715">
        <v>1.1509827681221394</v>
      </c>
      <c r="L1715">
        <v>0</v>
      </c>
      <c r="M1715">
        <v>8.268775016696912E-4</v>
      </c>
      <c r="N1715">
        <v>7.2642027231775846E-2</v>
      </c>
      <c r="O1715">
        <v>1.0345452282102659E-2</v>
      </c>
      <c r="P1715">
        <v>1.3434048157286913E-2</v>
      </c>
      <c r="Q1715">
        <v>4.4232800162675615E-4</v>
      </c>
      <c r="R1715">
        <v>8.250464949859928E-4</v>
      </c>
      <c r="S1715">
        <v>7.0980976049001887E-2</v>
      </c>
      <c r="T1715">
        <v>0.83320218697916804</v>
      </c>
      <c r="U1715">
        <v>0</v>
      </c>
      <c r="V1715">
        <v>9.2636796868884222E-2</v>
      </c>
      <c r="W1715">
        <v>4.816072555565936E-2</v>
      </c>
      <c r="X1715">
        <v>6.8945534204688389E-3</v>
      </c>
      <c r="Y1715">
        <v>2.2455045828478955E-3</v>
      </c>
    </row>
    <row r="1716" spans="1:25" x14ac:dyDescent="0.25">
      <c r="A1716" s="1096"/>
      <c r="B1716" s="1455">
        <v>1466</v>
      </c>
      <c r="C1716" s="1100">
        <v>0.98138626681679197</v>
      </c>
      <c r="D1716" s="1100">
        <v>1.0126507102979743</v>
      </c>
      <c r="E1716" s="1100">
        <v>1.0014021336991412</v>
      </c>
      <c r="F1716" s="1100">
        <v>1.0261113123518302</v>
      </c>
      <c r="G1716" s="1100">
        <v>0.97850098470937608</v>
      </c>
      <c r="H1716" s="1100">
        <v>1.0230281598281832</v>
      </c>
      <c r="I1716" s="1100">
        <v>0.9894111566720758</v>
      </c>
      <c r="K1716">
        <v>1.1758643065149947</v>
      </c>
      <c r="L1716">
        <v>0</v>
      </c>
      <c r="M1716">
        <v>8.2814850216056564E-4</v>
      </c>
      <c r="N1716">
        <v>7.6534971272784955E-2</v>
      </c>
      <c r="O1716">
        <v>1.049312297018295E-2</v>
      </c>
      <c r="P1716">
        <v>1.3848554692780702E-2</v>
      </c>
      <c r="Q1716">
        <v>4.5628723487260698E-4</v>
      </c>
      <c r="R1716">
        <v>8.2635564285229654E-4</v>
      </c>
      <c r="S1716">
        <v>7.3930434527082048E-2</v>
      </c>
      <c r="T1716">
        <v>0.84914850964445032</v>
      </c>
      <c r="U1716">
        <v>0</v>
      </c>
      <c r="V1716">
        <v>9.164680839812249E-2</v>
      </c>
      <c r="W1716">
        <v>5.023641448794694E-2</v>
      </c>
      <c r="X1716">
        <v>7.3219284943010932E-3</v>
      </c>
      <c r="Y1716">
        <v>2.2490676517794963E-3</v>
      </c>
    </row>
    <row r="1717" spans="1:25" x14ac:dyDescent="0.25">
      <c r="A1717" s="1096"/>
      <c r="B1717" s="1455">
        <v>1467</v>
      </c>
      <c r="C1717" s="1100">
        <v>0.97196280220193532</v>
      </c>
      <c r="D1717" s="1100">
        <v>1.0126032693351426</v>
      </c>
      <c r="E1717" s="1100">
        <v>1.0324919240983528</v>
      </c>
      <c r="F1717" s="1100">
        <v>0.95776141002071435</v>
      </c>
      <c r="G1717" s="1100">
        <v>0.9844837030753858</v>
      </c>
      <c r="H1717" s="1100">
        <v>0.99801928430022757</v>
      </c>
      <c r="I1717" s="1100">
        <v>0.99886393980842836</v>
      </c>
      <c r="K1717">
        <v>1.1189340475509408</v>
      </c>
      <c r="L1717">
        <v>0</v>
      </c>
      <c r="M1717">
        <v>7.6467668082561121E-4</v>
      </c>
      <c r="N1717">
        <v>7.7615429936903582E-2</v>
      </c>
      <c r="O1717">
        <v>1.0605499230550659E-2</v>
      </c>
      <c r="P1717">
        <v>1.3365056420314228E-2</v>
      </c>
      <c r="Q1717">
        <v>4.7567525696346055E-4</v>
      </c>
      <c r="R1717">
        <v>7.6297974862349479E-4</v>
      </c>
      <c r="S1717">
        <v>7.4359141743777515E-2</v>
      </c>
      <c r="T1717">
        <v>0.79063120790570063</v>
      </c>
      <c r="U1717">
        <v>0</v>
      </c>
      <c r="V1717">
        <v>9.2153149321992117E-2</v>
      </c>
      <c r="W1717">
        <v>5.0025113142162445E-2</v>
      </c>
      <c r="X1717">
        <v>7.6288921652312809E-3</v>
      </c>
      <c r="Y1717">
        <v>2.0765793595466158E-3</v>
      </c>
    </row>
    <row r="1718" spans="1:25" x14ac:dyDescent="0.25">
      <c r="A1718" s="1096"/>
      <c r="B1718" s="1455">
        <v>1468</v>
      </c>
      <c r="C1718" s="1100">
        <v>0.98989789195585587</v>
      </c>
      <c r="D1718" s="1100">
        <v>0.9970994560563492</v>
      </c>
      <c r="E1718" s="1100">
        <v>0.98006233528355857</v>
      </c>
      <c r="F1718" s="1100">
        <v>0.97191281035787447</v>
      </c>
      <c r="G1718" s="1100">
        <v>0.96468845077100462</v>
      </c>
      <c r="H1718" s="1100">
        <v>1.0176706183785471</v>
      </c>
      <c r="I1718" s="1100">
        <v>1.0236676487852121</v>
      </c>
      <c r="K1718">
        <v>1.1296223015252689</v>
      </c>
      <c r="L1718">
        <v>0</v>
      </c>
      <c r="M1718">
        <v>8.5893876285986193E-4</v>
      </c>
      <c r="N1718">
        <v>7.4420053311959361E-2</v>
      </c>
      <c r="O1718">
        <v>1.0460442736564804E-2</v>
      </c>
      <c r="P1718">
        <v>1.3063430689342357E-2</v>
      </c>
      <c r="Q1718">
        <v>4.4516377712072979E-4</v>
      </c>
      <c r="R1718">
        <v>8.5706945623872444E-4</v>
      </c>
      <c r="S1718">
        <v>7.6183575121490862E-2</v>
      </c>
      <c r="T1718">
        <v>0.80567640004995511</v>
      </c>
      <c r="U1718">
        <v>0</v>
      </c>
      <c r="V1718">
        <v>9.0835540404263088E-2</v>
      </c>
      <c r="W1718">
        <v>4.9476333243113048E-2</v>
      </c>
      <c r="X1718">
        <v>6.730570971068512E-3</v>
      </c>
      <c r="Y1718">
        <v>2.3326605270114916E-3</v>
      </c>
    </row>
    <row r="1719" spans="1:25" x14ac:dyDescent="0.25">
      <c r="A1719" s="1096"/>
      <c r="B1719" s="1455">
        <v>1469</v>
      </c>
      <c r="C1719" s="1100">
        <v>0.99990370073863022</v>
      </c>
      <c r="D1719" s="1100">
        <v>1.0267832740672436</v>
      </c>
      <c r="E1719" s="1100">
        <v>1.0373462304650951</v>
      </c>
      <c r="F1719" s="1100">
        <v>1.0001443365927869</v>
      </c>
      <c r="G1719" s="1100">
        <v>1.0077969132391169</v>
      </c>
      <c r="H1719" s="1100">
        <v>0.99303173575865034</v>
      </c>
      <c r="I1719" s="1100">
        <v>1.0283661456237947</v>
      </c>
      <c r="K1719">
        <v>1.1489744278169818</v>
      </c>
      <c r="L1719">
        <v>0</v>
      </c>
      <c r="M1719">
        <v>7.2808402751847756E-4</v>
      </c>
      <c r="N1719">
        <v>7.4989403880830002E-2</v>
      </c>
      <c r="O1719">
        <v>1.0253538081085667E-2</v>
      </c>
      <c r="P1719">
        <v>1.3892409142293333E-2</v>
      </c>
      <c r="Q1719">
        <v>4.6209571593394975E-4</v>
      </c>
      <c r="R1719">
        <v>7.2646018483249442E-4</v>
      </c>
      <c r="S1719">
        <v>7.3686426655963227E-2</v>
      </c>
      <c r="T1719">
        <v>0.82530234711473238</v>
      </c>
      <c r="U1719">
        <v>0</v>
      </c>
      <c r="V1719">
        <v>9.2437344986487591E-2</v>
      </c>
      <c r="W1719">
        <v>4.8197095415929196E-2</v>
      </c>
      <c r="X1719">
        <v>7.7782055208342592E-3</v>
      </c>
      <c r="Y1719">
        <v>1.9771851455784809E-3</v>
      </c>
    </row>
    <row r="1720" spans="1:25" x14ac:dyDescent="0.25">
      <c r="A1720" s="1096"/>
      <c r="B1720" s="1455">
        <v>1470</v>
      </c>
      <c r="C1720" s="1100">
        <v>1.0168788895057428</v>
      </c>
      <c r="D1720" s="1100">
        <v>1.0309355529132729</v>
      </c>
      <c r="E1720" s="1100">
        <v>0.994564520259968</v>
      </c>
      <c r="F1720" s="1100">
        <v>0.9788880255324548</v>
      </c>
      <c r="G1720" s="1100">
        <v>0.99139746014843511</v>
      </c>
      <c r="H1720" s="1100">
        <v>0.98348558878821923</v>
      </c>
      <c r="I1720" s="1100">
        <v>1.015844541326278</v>
      </c>
      <c r="K1720">
        <v>1.1217000850801691</v>
      </c>
      <c r="L1720">
        <v>0</v>
      </c>
      <c r="M1720">
        <v>7.7376385455051966E-4</v>
      </c>
      <c r="N1720">
        <v>7.004051206142077E-2</v>
      </c>
      <c r="O1720">
        <v>1.0052472183000429E-2</v>
      </c>
      <c r="P1720">
        <v>1.3208969325659963E-2</v>
      </c>
      <c r="Q1720">
        <v>4.3412838432702408E-4</v>
      </c>
      <c r="R1720">
        <v>7.7202138171755883E-4</v>
      </c>
      <c r="S1720">
        <v>7.0993459778873447E-2</v>
      </c>
      <c r="T1720">
        <v>0.81051289719297048</v>
      </c>
      <c r="U1720">
        <v>0</v>
      </c>
      <c r="V1720">
        <v>9.1315724227359535E-2</v>
      </c>
      <c r="W1720">
        <v>4.6161059698005977E-2</v>
      </c>
      <c r="X1720">
        <v>6.881416997129239E-3</v>
      </c>
      <c r="Y1720">
        <v>2.1011877042551091E-3</v>
      </c>
    </row>
    <row r="1721" spans="1:25" x14ac:dyDescent="0.25">
      <c r="A1721" s="1096"/>
      <c r="B1721" s="1455">
        <v>1471</v>
      </c>
      <c r="C1721" s="1100">
        <v>0.96076812507647968</v>
      </c>
      <c r="D1721" s="1100">
        <v>0.99802342362535112</v>
      </c>
      <c r="E1721" s="1100">
        <v>1.0070848632080156</v>
      </c>
      <c r="F1721" s="1100">
        <v>1.0085340901516582</v>
      </c>
      <c r="G1721" s="1100">
        <v>1.0043366537739695</v>
      </c>
      <c r="H1721" s="1100">
        <v>0.96136124651393284</v>
      </c>
      <c r="I1721" s="1100">
        <v>0.97387923291474987</v>
      </c>
      <c r="K1721">
        <v>1.1572322386696814</v>
      </c>
      <c r="L1721">
        <v>0</v>
      </c>
      <c r="M1721">
        <v>7.9019359470308584E-4</v>
      </c>
      <c r="N1721">
        <v>7.4281169557682186E-2</v>
      </c>
      <c r="O1721">
        <v>1.0782806692039487E-2</v>
      </c>
      <c r="P1721">
        <v>1.3703613422577653E-2</v>
      </c>
      <c r="Q1721">
        <v>4.7156365121608354E-4</v>
      </c>
      <c r="R1721">
        <v>7.8837317104225293E-4</v>
      </c>
      <c r="S1721">
        <v>7.2348543399769719E-2</v>
      </c>
      <c r="T1721">
        <v>0.83422400251462947</v>
      </c>
      <c r="U1721">
        <v>0</v>
      </c>
      <c r="V1721">
        <v>9.3294230436465439E-2</v>
      </c>
      <c r="W1721">
        <v>4.8593201835398676E-2</v>
      </c>
      <c r="X1721">
        <v>7.3892356991339062E-3</v>
      </c>
      <c r="Y1721">
        <v>2.1456918844310249E-3</v>
      </c>
    </row>
    <row r="1722" spans="1:25" x14ac:dyDescent="0.25">
      <c r="A1722" s="1096"/>
      <c r="B1722" s="1455">
        <v>1472</v>
      </c>
      <c r="C1722" s="1100">
        <v>1.0217498730752566</v>
      </c>
      <c r="D1722" s="1100">
        <v>1.0063813853614965</v>
      </c>
      <c r="E1722" s="1100">
        <v>0.98982702503517173</v>
      </c>
      <c r="F1722" s="1100">
        <v>0.96461721403058798</v>
      </c>
      <c r="G1722" s="1100">
        <v>0.99998414555128867</v>
      </c>
      <c r="H1722" s="1100">
        <v>1.0007579349369031</v>
      </c>
      <c r="I1722" s="1100">
        <v>0.99017586944795422</v>
      </c>
      <c r="K1722">
        <v>1.1118572384720462</v>
      </c>
      <c r="L1722">
        <v>0</v>
      </c>
      <c r="M1722">
        <v>7.9899545938269837E-4</v>
      </c>
      <c r="N1722">
        <v>7.1298843189409114E-2</v>
      </c>
      <c r="O1722">
        <v>1.0099969997260514E-2</v>
      </c>
      <c r="P1722">
        <v>1.3001634916709543E-2</v>
      </c>
      <c r="Q1722">
        <v>4.3409851371830537E-4</v>
      </c>
      <c r="R1722">
        <v>7.9722722086394754E-4</v>
      </c>
      <c r="S1722">
        <v>7.0401947763686593E-2</v>
      </c>
      <c r="T1722">
        <v>0.79900046030380512</v>
      </c>
      <c r="U1722">
        <v>0</v>
      </c>
      <c r="V1722">
        <v>9.156604923318154E-2</v>
      </c>
      <c r="W1722">
        <v>4.7123696687911235E-2</v>
      </c>
      <c r="X1722">
        <v>6.7625164155746516E-3</v>
      </c>
      <c r="Y1722">
        <v>2.1697896893089373E-3</v>
      </c>
    </row>
    <row r="1723" spans="1:25" x14ac:dyDescent="0.25">
      <c r="A1723" s="1096"/>
      <c r="B1723" s="1455">
        <v>1473</v>
      </c>
      <c r="C1723" s="1100">
        <v>1.0267522772777136</v>
      </c>
      <c r="D1723" s="1100">
        <v>1.0028816425829621</v>
      </c>
      <c r="E1723" s="1100">
        <v>1.0025206858755842</v>
      </c>
      <c r="F1723" s="1100">
        <v>0.98280038391613478</v>
      </c>
      <c r="G1723" s="1100">
        <v>1.0018768740878212</v>
      </c>
      <c r="H1723" s="1100">
        <v>0.99427053496555273</v>
      </c>
      <c r="I1723" s="1100">
        <v>1.0308740894620698</v>
      </c>
      <c r="K1723">
        <v>1.1288917676228696</v>
      </c>
      <c r="L1723">
        <v>0</v>
      </c>
      <c r="M1723">
        <v>7.7050512942703181E-4</v>
      </c>
      <c r="N1723">
        <v>7.1444272967564185E-2</v>
      </c>
      <c r="O1723">
        <v>1.0068816515583825E-2</v>
      </c>
      <c r="P1723">
        <v>1.3352856228965079E-2</v>
      </c>
      <c r="Q1723">
        <v>4.3832854186784918E-4</v>
      </c>
      <c r="R1723">
        <v>7.6878881622637258E-4</v>
      </c>
      <c r="S1723">
        <v>7.2819268827568118E-2</v>
      </c>
      <c r="T1723">
        <v>0.81323425903789892</v>
      </c>
      <c r="U1723">
        <v>0</v>
      </c>
      <c r="V1723">
        <v>9.1530537227199615E-2</v>
      </c>
      <c r="W1723">
        <v>4.6863838492738272E-2</v>
      </c>
      <c r="X1723">
        <v>7.0489163700819587E-3</v>
      </c>
      <c r="Y1723">
        <v>2.0923897266030291E-3</v>
      </c>
    </row>
    <row r="1724" spans="1:25" x14ac:dyDescent="0.25">
      <c r="A1724" s="1096"/>
      <c r="B1724" s="1455">
        <v>1474</v>
      </c>
      <c r="C1724" s="1100">
        <v>1.0317115471209242</v>
      </c>
      <c r="D1724" s="1100">
        <v>1.0142768388349626</v>
      </c>
      <c r="E1724" s="1100">
        <v>1.0063908723973845</v>
      </c>
      <c r="F1724" s="1100">
        <v>0.98413066121794035</v>
      </c>
      <c r="G1724" s="1100">
        <v>0.97497303797559454</v>
      </c>
      <c r="H1724" s="1100">
        <v>1.0072732104332507</v>
      </c>
      <c r="I1724" s="1100">
        <v>0.97058160777588953</v>
      </c>
      <c r="K1724">
        <v>1.1246504679438054</v>
      </c>
      <c r="L1724">
        <v>0</v>
      </c>
      <c r="M1724">
        <v>7.6713889384601207E-4</v>
      </c>
      <c r="N1724">
        <v>7.1970547072620142E-2</v>
      </c>
      <c r="O1724">
        <v>9.9764553936132466E-3</v>
      </c>
      <c r="P1724">
        <v>1.3324149057160386E-2</v>
      </c>
      <c r="Q1724">
        <v>4.3599643334855698E-4</v>
      </c>
      <c r="R1724">
        <v>7.6545213771922959E-4</v>
      </c>
      <c r="S1724">
        <v>6.8335186118943222E-2</v>
      </c>
      <c r="T1724">
        <v>0.81408340988452843</v>
      </c>
      <c r="U1724">
        <v>0</v>
      </c>
      <c r="V1724">
        <v>9.0264932890631144E-2</v>
      </c>
      <c r="W1724">
        <v>4.7100961262408141E-2</v>
      </c>
      <c r="X1724">
        <v>7.0772081990351614E-3</v>
      </c>
      <c r="Y1724">
        <v>2.083308387642359E-3</v>
      </c>
    </row>
    <row r="1725" spans="1:25" x14ac:dyDescent="0.25">
      <c r="A1725" s="1096"/>
      <c r="B1725" s="1455">
        <v>1475</v>
      </c>
      <c r="C1725" s="1100">
        <v>1.0335878372873193</v>
      </c>
      <c r="D1725" s="1100">
        <v>1.0075578895178223</v>
      </c>
      <c r="E1725" s="1100">
        <v>1.0095630978670911</v>
      </c>
      <c r="F1725" s="1100">
        <v>0.96879513907487691</v>
      </c>
      <c r="G1725" s="1100">
        <v>1.041614222285449</v>
      </c>
      <c r="H1725" s="1100">
        <v>0.99685381130548467</v>
      </c>
      <c r="I1725" s="1100">
        <v>0.99194331867972951</v>
      </c>
      <c r="K1725">
        <v>1.1148074780491939</v>
      </c>
      <c r="L1725">
        <v>0</v>
      </c>
      <c r="M1725">
        <v>7.5485310053757489E-4</v>
      </c>
      <c r="N1725">
        <v>7.1497864898779726E-2</v>
      </c>
      <c r="O1725">
        <v>9.9858578391366654E-3</v>
      </c>
      <c r="P1725">
        <v>1.3233813551073425E-2</v>
      </c>
      <c r="Q1725">
        <v>4.3779497477788729E-4</v>
      </c>
      <c r="R1725">
        <v>7.5317600984985448E-4</v>
      </c>
      <c r="S1725">
        <v>6.9548237583858752E-2</v>
      </c>
      <c r="T1725">
        <v>0.80119503326116337</v>
      </c>
      <c r="U1725">
        <v>0</v>
      </c>
      <c r="V1725">
        <v>9.3070543029853223E-2</v>
      </c>
      <c r="W1725">
        <v>4.6704030158141979E-2</v>
      </c>
      <c r="X1725">
        <v>7.0860830286898673E-3</v>
      </c>
      <c r="Y1725">
        <v>2.049896814406385E-3</v>
      </c>
    </row>
    <row r="1726" spans="1:25" x14ac:dyDescent="0.25">
      <c r="A1726" s="1096"/>
      <c r="B1726" s="1455">
        <v>1476</v>
      </c>
      <c r="C1726" s="1100">
        <v>0.97762386989368899</v>
      </c>
      <c r="D1726" s="1100">
        <v>0.97715148405968977</v>
      </c>
      <c r="E1726" s="1100">
        <v>1.0083867688546362</v>
      </c>
      <c r="F1726" s="1100">
        <v>1.0210653615044001</v>
      </c>
      <c r="G1726" s="1100">
        <v>0.9936583715314905</v>
      </c>
      <c r="H1726" s="1100">
        <v>0.98237574372975689</v>
      </c>
      <c r="I1726" s="1100">
        <v>1.0362975524952269</v>
      </c>
      <c r="K1726">
        <v>1.1735703482591018</v>
      </c>
      <c r="L1726">
        <v>0</v>
      </c>
      <c r="M1726">
        <v>7.9812077096836547E-4</v>
      </c>
      <c r="N1726">
        <v>7.5325591308618725E-2</v>
      </c>
      <c r="O1726">
        <v>1.0687301037854657E-2</v>
      </c>
      <c r="P1726">
        <v>1.3914881735507052E-2</v>
      </c>
      <c r="Q1726">
        <v>4.6799634157159982E-4</v>
      </c>
      <c r="R1726">
        <v>7.963214171877492E-4</v>
      </c>
      <c r="S1726">
        <v>7.740449703950944E-2</v>
      </c>
      <c r="T1726">
        <v>0.84450175549326267</v>
      </c>
      <c r="U1726">
        <v>0</v>
      </c>
      <c r="V1726">
        <v>9.2393173280371749E-2</v>
      </c>
      <c r="W1726">
        <v>4.9238558252710035E-2</v>
      </c>
      <c r="X1726">
        <v>7.471068733175725E-3</v>
      </c>
      <c r="Y1726">
        <v>2.1673243903004278E-3</v>
      </c>
    </row>
    <row r="1727" spans="1:25" x14ac:dyDescent="0.25">
      <c r="A1727" s="1096"/>
      <c r="B1727" s="1455">
        <v>1477</v>
      </c>
      <c r="C1727" s="1100">
        <v>0.96449048095944334</v>
      </c>
      <c r="D1727" s="1100">
        <v>1.0253931913524217</v>
      </c>
      <c r="E1727" s="1100">
        <v>0.9883445663878051</v>
      </c>
      <c r="F1727" s="1100">
        <v>0.9739175905053602</v>
      </c>
      <c r="G1727" s="1100">
        <v>1.0069290907580835</v>
      </c>
      <c r="H1727" s="1100">
        <v>1.0391557205358779</v>
      </c>
      <c r="I1727" s="1100">
        <v>0.97106421777042307</v>
      </c>
      <c r="K1727">
        <v>1.1368115422196381</v>
      </c>
      <c r="L1727">
        <v>0</v>
      </c>
      <c r="M1727">
        <v>8.7503338776234848E-4</v>
      </c>
      <c r="N1727">
        <v>7.7741281990582986E-2</v>
      </c>
      <c r="O1727">
        <v>1.0619284688059803E-2</v>
      </c>
      <c r="P1727">
        <v>1.3164640050330443E-2</v>
      </c>
      <c r="Q1727">
        <v>4.5573501126683363E-4</v>
      </c>
      <c r="R1727">
        <v>8.7316842755621137E-4</v>
      </c>
      <c r="S1727">
        <v>7.3998423095853499E-2</v>
      </c>
      <c r="T1727">
        <v>0.80680013560531294</v>
      </c>
      <c r="U1727">
        <v>0</v>
      </c>
      <c r="V1727">
        <v>9.3302533553647191E-2</v>
      </c>
      <c r="W1727">
        <v>5.1427396058739965E-2</v>
      </c>
      <c r="X1727">
        <v>6.9275005061378708E-3</v>
      </c>
      <c r="Y1727">
        <v>2.3764766199132225E-3</v>
      </c>
    </row>
    <row r="1728" spans="1:25" x14ac:dyDescent="0.25">
      <c r="A1728" s="1096"/>
      <c r="B1728" s="1455">
        <v>1478</v>
      </c>
      <c r="C1728" s="1100">
        <v>0.95525187283294499</v>
      </c>
      <c r="D1728" s="1100">
        <v>0.99367389218902347</v>
      </c>
      <c r="E1728" s="1100">
        <v>1.0201470028808097</v>
      </c>
      <c r="F1728" s="1100">
        <v>0.99933232579739273</v>
      </c>
      <c r="G1728" s="1100">
        <v>1.0277580160266309</v>
      </c>
      <c r="H1728" s="1100">
        <v>1.0059882296074103</v>
      </c>
      <c r="I1728" s="1100">
        <v>0.97875432994251876</v>
      </c>
      <c r="K1728">
        <v>1.1611269112302411</v>
      </c>
      <c r="L1728">
        <v>0</v>
      </c>
      <c r="M1728">
        <v>8.1078822549768563E-4</v>
      </c>
      <c r="N1728">
        <v>7.9290073489798482E-2</v>
      </c>
      <c r="O1728">
        <v>1.0868533629693256E-2</v>
      </c>
      <c r="P1728">
        <v>1.3774262807582007E-2</v>
      </c>
      <c r="Q1728">
        <v>4.8154728550803451E-4</v>
      </c>
      <c r="R1728">
        <v>8.0900321772465469E-4</v>
      </c>
      <c r="S1728">
        <v>7.5176631560538831E-2</v>
      </c>
      <c r="T1728">
        <v>0.82575418649188959</v>
      </c>
      <c r="U1728">
        <v>0</v>
      </c>
      <c r="V1728">
        <v>9.4446542108049855E-2</v>
      </c>
      <c r="W1728">
        <v>5.1473058453780203E-2</v>
      </c>
      <c r="X1728">
        <v>7.6620203403657654E-3</v>
      </c>
      <c r="Y1728">
        <v>2.2018400708074615E-3</v>
      </c>
    </row>
    <row r="1729" spans="1:25" x14ac:dyDescent="0.25">
      <c r="A1729" s="1096"/>
      <c r="B1729" s="1455">
        <v>1479</v>
      </c>
      <c r="C1729" s="1100">
        <v>1.0094428715802184</v>
      </c>
      <c r="D1729" s="1100">
        <v>1.0075536702030714</v>
      </c>
      <c r="E1729" s="1100">
        <v>1.0174590689906462</v>
      </c>
      <c r="F1729" s="1100">
        <v>1.0076280199187035</v>
      </c>
      <c r="G1729" s="1100">
        <v>0.966053130102143</v>
      </c>
      <c r="H1729" s="1100">
        <v>0.99220041988176177</v>
      </c>
      <c r="I1729" s="1100">
        <v>0.98865549015786558</v>
      </c>
      <c r="K1729">
        <v>1.1490276237490418</v>
      </c>
      <c r="L1729">
        <v>0</v>
      </c>
      <c r="M1729">
        <v>7.567785284634677E-4</v>
      </c>
      <c r="N1729">
        <v>7.340825599931014E-2</v>
      </c>
      <c r="O1729">
        <v>1.0227285496706465E-2</v>
      </c>
      <c r="P1729">
        <v>1.3727989523220931E-2</v>
      </c>
      <c r="Q1729">
        <v>4.5192574346973488E-4</v>
      </c>
      <c r="R1729">
        <v>7.5508927439706087E-4</v>
      </c>
      <c r="S1729">
        <v>7.0800029669515527E-2</v>
      </c>
      <c r="T1729">
        <v>0.83278662859304331</v>
      </c>
      <c r="U1729">
        <v>0</v>
      </c>
      <c r="V1729">
        <v>9.0415540326959171E-2</v>
      </c>
      <c r="W1729">
        <v>4.7729805878399E-2</v>
      </c>
      <c r="X1729">
        <v>7.4267476826875446E-3</v>
      </c>
      <c r="Y1729">
        <v>2.055104089796392E-3</v>
      </c>
    </row>
    <row r="1730" spans="1:25" x14ac:dyDescent="0.25">
      <c r="A1730" s="1096"/>
      <c r="B1730" s="1455">
        <v>1480</v>
      </c>
      <c r="C1730" s="1100">
        <v>1.0196777090271425</v>
      </c>
      <c r="D1730" s="1100">
        <v>1.0251680708430935</v>
      </c>
      <c r="E1730" s="1100">
        <v>0.98997971875955537</v>
      </c>
      <c r="F1730" s="1100">
        <v>0.98582623217636201</v>
      </c>
      <c r="G1730" s="1100">
        <v>0.98985841795369478</v>
      </c>
      <c r="H1730" s="1100">
        <v>1.037027374737602</v>
      </c>
      <c r="I1730" s="1100">
        <v>1.0081521276138841</v>
      </c>
      <c r="K1730">
        <v>1.1352467109586937</v>
      </c>
      <c r="L1730">
        <v>0</v>
      </c>
      <c r="M1730">
        <v>8.2325964522581647E-4</v>
      </c>
      <c r="N1730">
        <v>7.3503697410111174E-2</v>
      </c>
      <c r="O1730">
        <v>1.0045946355548585E-2</v>
      </c>
      <c r="P1730">
        <v>1.3265133463241058E-2</v>
      </c>
      <c r="Q1730">
        <v>4.3184321600615091E-4</v>
      </c>
      <c r="R1730">
        <v>8.2150142940060208E-4</v>
      </c>
      <c r="S1730">
        <v>7.2592033711149917E-2</v>
      </c>
      <c r="T1730">
        <v>0.81655805143516957</v>
      </c>
      <c r="U1730">
        <v>0</v>
      </c>
      <c r="V1730">
        <v>9.1182379004697806E-2</v>
      </c>
      <c r="W1730">
        <v>4.8576511722554054E-2</v>
      </c>
      <c r="X1730">
        <v>6.8570167730853931E-3</v>
      </c>
      <c r="Y1730">
        <v>2.2358560829550183E-3</v>
      </c>
    </row>
    <row r="1731" spans="1:25" x14ac:dyDescent="0.25">
      <c r="A1731" s="1096"/>
      <c r="B1731" s="1455">
        <v>1481</v>
      </c>
      <c r="C1731" s="1100">
        <v>1.0089539579640334</v>
      </c>
      <c r="D1731" s="1100">
        <v>0.99555056344160608</v>
      </c>
      <c r="E1731" s="1100">
        <v>1.0013847023600062</v>
      </c>
      <c r="F1731" s="1100">
        <v>0.98412794661974778</v>
      </c>
      <c r="G1731" s="1100">
        <v>0.99586860659606813</v>
      </c>
      <c r="H1731" s="1100">
        <v>1.0173186952753874</v>
      </c>
      <c r="I1731" s="1100">
        <v>0.99970529381385076</v>
      </c>
      <c r="K1731">
        <v>1.1359978257068923</v>
      </c>
      <c r="L1731">
        <v>0</v>
      </c>
      <c r="M1731">
        <v>8.0653001130958962E-4</v>
      </c>
      <c r="N1731">
        <v>7.4532223512743481E-2</v>
      </c>
      <c r="O1731">
        <v>1.0276179710623395E-2</v>
      </c>
      <c r="P1731">
        <v>1.3363201849807212E-2</v>
      </c>
      <c r="Q1731">
        <v>4.4684576228068911E-4</v>
      </c>
      <c r="R1731">
        <v>8.0477415454709167E-4</v>
      </c>
      <c r="S1731">
        <v>7.3064089387113978E-2</v>
      </c>
      <c r="T1731">
        <v>0.81440671561987898</v>
      </c>
      <c r="U1731">
        <v>0</v>
      </c>
      <c r="V1731">
        <v>9.1699309478410276E-2</v>
      </c>
      <c r="W1731">
        <v>4.8922346993753071E-2</v>
      </c>
      <c r="X1731">
        <v>7.0983392940953691E-3</v>
      </c>
      <c r="Y1731">
        <v>2.1903299549484363E-3</v>
      </c>
    </row>
    <row r="1732" spans="1:25" x14ac:dyDescent="0.25">
      <c r="A1732" s="1096"/>
      <c r="B1732" s="1455">
        <v>1482</v>
      </c>
      <c r="C1732" s="1100">
        <v>0.98428665727119768</v>
      </c>
      <c r="D1732" s="1100">
        <v>1.023178485517011</v>
      </c>
      <c r="E1732" s="1100">
        <v>0.97092260806520692</v>
      </c>
      <c r="F1732" s="1100">
        <v>0.99695542960049743</v>
      </c>
      <c r="G1732" s="1100">
        <v>1.0158583250232531</v>
      </c>
      <c r="H1732" s="1100">
        <v>0.9990691639417083</v>
      </c>
      <c r="I1732" s="1100">
        <v>1.0079795897995421</v>
      </c>
      <c r="K1732">
        <v>1.1472362347290341</v>
      </c>
      <c r="L1732">
        <v>0</v>
      </c>
      <c r="M1732">
        <v>8.5533442750424318E-4</v>
      </c>
      <c r="N1732">
        <v>7.2082900618185258E-2</v>
      </c>
      <c r="O1732">
        <v>1.04089894486613E-2</v>
      </c>
      <c r="P1732">
        <v>1.3255122885225575E-2</v>
      </c>
      <c r="Q1732">
        <v>4.3886783757246523E-4</v>
      </c>
      <c r="R1732">
        <v>8.5343830681934118E-4</v>
      </c>
      <c r="S1732">
        <v>7.3674529196387756E-2</v>
      </c>
      <c r="T1732">
        <v>0.8270461954077466</v>
      </c>
      <c r="U1732">
        <v>0</v>
      </c>
      <c r="V1732">
        <v>9.3165415728209633E-2</v>
      </c>
      <c r="W1732">
        <v>4.8188693145044287E-2</v>
      </c>
      <c r="X1732">
        <v>6.6546388473857042E-3</v>
      </c>
      <c r="Y1732">
        <v>2.3227777353000147E-3</v>
      </c>
    </row>
    <row r="1733" spans="1:25" x14ac:dyDescent="0.25">
      <c r="A1733" s="1096"/>
      <c r="B1733" s="1455">
        <v>1483</v>
      </c>
      <c r="C1733" s="1100">
        <v>1.0073648292891264</v>
      </c>
      <c r="D1733" s="1100">
        <v>0.98837799107991331</v>
      </c>
      <c r="E1733" s="1100">
        <v>0.99878827779284396</v>
      </c>
      <c r="F1733" s="1100">
        <v>0.99400922128625546</v>
      </c>
      <c r="G1733" s="1100">
        <v>0.97531051939639579</v>
      </c>
      <c r="H1733" s="1100">
        <v>0.99361972119557584</v>
      </c>
      <c r="I1733" s="1100">
        <v>1.0056713872220351</v>
      </c>
      <c r="K1733">
        <v>1.1408727463276134</v>
      </c>
      <c r="L1733">
        <v>0</v>
      </c>
      <c r="M1733">
        <v>7.9554256670650192E-4</v>
      </c>
      <c r="N1733">
        <v>7.2938634288214454E-2</v>
      </c>
      <c r="O1733">
        <v>1.0321354527408004E-2</v>
      </c>
      <c r="P1733">
        <v>1.3437572638348619E-2</v>
      </c>
      <c r="Q1733">
        <v>4.4764037401559705E-4</v>
      </c>
      <c r="R1733">
        <v>7.9376932148845169E-4</v>
      </c>
      <c r="S1733">
        <v>7.2919238064241415E-2</v>
      </c>
      <c r="T1733">
        <v>0.82275473909125274</v>
      </c>
      <c r="U1733">
        <v>0</v>
      </c>
      <c r="V1733">
        <v>9.0858730291754841E-2</v>
      </c>
      <c r="W1733">
        <v>4.7950261386148746E-2</v>
      </c>
      <c r="X1733">
        <v>7.0859704843420114E-3</v>
      </c>
      <c r="Y1733">
        <v>2.1603784271050611E-3</v>
      </c>
    </row>
    <row r="1734" spans="1:25" x14ac:dyDescent="0.25">
      <c r="A1734" s="1096"/>
      <c r="B1734" s="1455">
        <v>1484</v>
      </c>
      <c r="C1734" s="1100">
        <v>0.97798293331083008</v>
      </c>
      <c r="D1734" s="1100">
        <v>0.96749936864461794</v>
      </c>
      <c r="E1734" s="1100">
        <v>1.0062234971780981</v>
      </c>
      <c r="F1734" s="1100">
        <v>0.98691572170349962</v>
      </c>
      <c r="G1734" s="1100">
        <v>0.98077017668004651</v>
      </c>
      <c r="H1734" s="1100">
        <v>1.0148748725404502</v>
      </c>
      <c r="I1734" s="1100">
        <v>0.982067632457722</v>
      </c>
      <c r="K1734">
        <v>1.1464681040878586</v>
      </c>
      <c r="L1734">
        <v>0</v>
      </c>
      <c r="M1734">
        <v>8.3122670877715352E-4</v>
      </c>
      <c r="N1734">
        <v>7.7944943883402298E-2</v>
      </c>
      <c r="O1734">
        <v>1.0725148322811535E-2</v>
      </c>
      <c r="P1734">
        <v>1.3467686829522168E-2</v>
      </c>
      <c r="Q1734">
        <v>4.6863763882207076E-4</v>
      </c>
      <c r="R1734">
        <v>8.2941272847228777E-4</v>
      </c>
      <c r="S1734">
        <v>7.5045874853387803E-2</v>
      </c>
      <c r="T1734">
        <v>0.81639814400599742</v>
      </c>
      <c r="U1734">
        <v>0</v>
      </c>
      <c r="V1734">
        <v>9.1832540398246718E-2</v>
      </c>
      <c r="W1734">
        <v>5.1015941257773222E-2</v>
      </c>
      <c r="X1734">
        <v>7.3136128471308938E-3</v>
      </c>
      <c r="Y1734">
        <v>2.2573880310691086E-3</v>
      </c>
    </row>
    <row r="1735" spans="1:25" x14ac:dyDescent="0.25">
      <c r="A1735" s="1096"/>
      <c r="B1735" s="1455">
        <v>1485</v>
      </c>
      <c r="C1735" s="1100">
        <v>0.98931806498848385</v>
      </c>
      <c r="D1735" s="1100">
        <v>0.97331081682624976</v>
      </c>
      <c r="E1735" s="1100">
        <v>0.98884170017729911</v>
      </c>
      <c r="F1735" s="1100">
        <v>1.0052813584010465</v>
      </c>
      <c r="G1735" s="1100">
        <v>0.99835049478798032</v>
      </c>
      <c r="H1735" s="1100">
        <v>0.99512828708306644</v>
      </c>
      <c r="I1735" s="1100">
        <v>1.0024669545600275</v>
      </c>
      <c r="K1735">
        <v>1.1566864787414881</v>
      </c>
      <c r="L1735">
        <v>0</v>
      </c>
      <c r="M1735">
        <v>8.3328501489672829E-4</v>
      </c>
      <c r="N1735">
        <v>7.4136561490625585E-2</v>
      </c>
      <c r="O1735">
        <v>1.0571086827825444E-2</v>
      </c>
      <c r="P1735">
        <v>1.351547274319459E-2</v>
      </c>
      <c r="Q1735">
        <v>4.5389475833877485E-4</v>
      </c>
      <c r="R1735">
        <v>8.3143045835639957E-4</v>
      </c>
      <c r="S1735">
        <v>7.4650731528689521E-2</v>
      </c>
      <c r="T1735">
        <v>0.83274882902033887</v>
      </c>
      <c r="U1735">
        <v>0</v>
      </c>
      <c r="V1735">
        <v>9.229105832257814E-2</v>
      </c>
      <c r="W1735">
        <v>4.9028182443052022E-2</v>
      </c>
      <c r="X1735">
        <v>7.0296365367149317E-3</v>
      </c>
      <c r="Y1735">
        <v>2.2628796266691829E-3</v>
      </c>
    </row>
    <row r="1736" spans="1:25" x14ac:dyDescent="0.25">
      <c r="A1736" s="1096"/>
      <c r="B1736" s="1455">
        <v>1486</v>
      </c>
      <c r="C1736" s="1100">
        <v>1.0201716147676549</v>
      </c>
      <c r="D1736" s="1100">
        <v>0.99126272040264618</v>
      </c>
      <c r="E1736" s="1100">
        <v>0.99374729724388478</v>
      </c>
      <c r="F1736" s="1100">
        <v>1.0003792884212186</v>
      </c>
      <c r="G1736" s="1100">
        <v>1.0195308244838892</v>
      </c>
      <c r="H1736" s="1100">
        <v>0.99688707827761214</v>
      </c>
      <c r="I1736" s="1100">
        <v>1.015441326986376</v>
      </c>
      <c r="K1736">
        <v>1.1459763907503773</v>
      </c>
      <c r="L1736">
        <v>0</v>
      </c>
      <c r="M1736">
        <v>7.9549056122116811E-4</v>
      </c>
      <c r="N1736">
        <v>7.1831733258029759E-2</v>
      </c>
      <c r="O1736">
        <v>1.0178288513409494E-2</v>
      </c>
      <c r="P1736">
        <v>1.3481761512723065E-2</v>
      </c>
      <c r="Q1736">
        <v>4.391998153178281E-4</v>
      </c>
      <c r="R1736">
        <v>7.9372324345952584E-4</v>
      </c>
      <c r="S1736">
        <v>7.2721382002040175E-2</v>
      </c>
      <c r="T1736">
        <v>0.82836180190542186</v>
      </c>
      <c r="U1736">
        <v>0</v>
      </c>
      <c r="V1736">
        <v>9.2439859509665503E-2</v>
      </c>
      <c r="W1736">
        <v>4.7364692469664911E-2</v>
      </c>
      <c r="X1736">
        <v>6.9991860639655916E-3</v>
      </c>
      <c r="Y1736">
        <v>2.1602530178999432E-3</v>
      </c>
    </row>
    <row r="1737" spans="1:25" x14ac:dyDescent="0.25">
      <c r="A1737" s="1096"/>
      <c r="B1737" s="1455">
        <v>1487</v>
      </c>
      <c r="C1737" s="1100">
        <v>0.99570530893047771</v>
      </c>
      <c r="D1737" s="1100">
        <v>0.99095926639370324</v>
      </c>
      <c r="E1737" s="1100">
        <v>0.99379261585976464</v>
      </c>
      <c r="F1737" s="1100">
        <v>0.99552421269170477</v>
      </c>
      <c r="G1737" s="1100">
        <v>0.96843486062245554</v>
      </c>
      <c r="H1737" s="1100">
        <v>1.001700567124987</v>
      </c>
      <c r="I1737" s="1100">
        <v>1.000578778115444</v>
      </c>
      <c r="K1737">
        <v>1.1451104767072458</v>
      </c>
      <c r="L1737">
        <v>0</v>
      </c>
      <c r="M1737">
        <v>8.1899603428028445E-4</v>
      </c>
      <c r="N1737">
        <v>7.3965168357776764E-2</v>
      </c>
      <c r="O1737">
        <v>1.0429679913627334E-2</v>
      </c>
      <c r="P1737">
        <v>1.3418374948975466E-2</v>
      </c>
      <c r="Q1737">
        <v>4.5006809138399621E-4</v>
      </c>
      <c r="R1737">
        <v>8.1718523856970013E-4</v>
      </c>
      <c r="S1737">
        <v>7.3626824410069402E-2</v>
      </c>
      <c r="T1737">
        <v>0.82433857147319822</v>
      </c>
      <c r="U1737">
        <v>0</v>
      </c>
      <c r="V1737">
        <v>9.0852001604096899E-2</v>
      </c>
      <c r="W1737">
        <v>4.8770125228891542E-2</v>
      </c>
      <c r="X1737">
        <v>7.0373646405917575E-3</v>
      </c>
      <c r="Y1737">
        <v>2.2241088343452281E-3</v>
      </c>
    </row>
    <row r="1738" spans="1:25" x14ac:dyDescent="0.25">
      <c r="A1738" s="1096"/>
      <c r="B1738" s="1455">
        <v>1488</v>
      </c>
      <c r="C1738" s="1100">
        <v>1.0117014177952224</v>
      </c>
      <c r="D1738" s="1100">
        <v>1.0266689147568551</v>
      </c>
      <c r="E1738" s="1100">
        <v>0.99387593980098765</v>
      </c>
      <c r="F1738" s="1100">
        <v>0.99015893804058419</v>
      </c>
      <c r="G1738" s="1100">
        <v>1.019252373357296</v>
      </c>
      <c r="H1738" s="1100">
        <v>0.96794210793885382</v>
      </c>
      <c r="I1738" s="1100">
        <v>1.013328394079279</v>
      </c>
      <c r="K1738">
        <v>1.1312180404506769</v>
      </c>
      <c r="L1738">
        <v>0</v>
      </c>
      <c r="M1738">
        <v>7.6779784973937139E-4</v>
      </c>
      <c r="N1738">
        <v>6.9353463844963159E-2</v>
      </c>
      <c r="O1738">
        <v>1.0120471447002635E-2</v>
      </c>
      <c r="P1738">
        <v>1.3343320468820417E-2</v>
      </c>
      <c r="Q1738">
        <v>4.3676163842513787E-4</v>
      </c>
      <c r="R1738">
        <v>7.6604104665107186E-4</v>
      </c>
      <c r="S1738">
        <v>7.0704336823252861E-2</v>
      </c>
      <c r="T1738">
        <v>0.8198904054817524</v>
      </c>
      <c r="U1738">
        <v>0</v>
      </c>
      <c r="V1738">
        <v>9.263133502109866E-2</v>
      </c>
      <c r="W1738">
        <v>4.5727047907671632E-2</v>
      </c>
      <c r="X1738">
        <v>6.9277434171562194E-3</v>
      </c>
      <c r="Y1738">
        <v>2.0849112036210558E-3</v>
      </c>
    </row>
    <row r="1739" spans="1:25" x14ac:dyDescent="0.25">
      <c r="A1739" s="1096"/>
      <c r="B1739" s="1455">
        <v>1489</v>
      </c>
      <c r="C1739" s="1100">
        <v>0.97647198541723834</v>
      </c>
      <c r="D1739" s="1100">
        <v>1.004717074926865</v>
      </c>
      <c r="E1739" s="1100">
        <v>1.0319321296071751</v>
      </c>
      <c r="F1739" s="1100">
        <v>0.98627469875150087</v>
      </c>
      <c r="G1739" s="1100">
        <v>0.99710907202745813</v>
      </c>
      <c r="H1739" s="1100">
        <v>0.99149771040714074</v>
      </c>
      <c r="I1739" s="1100">
        <v>0.99033905034681702</v>
      </c>
      <c r="K1739">
        <v>1.1412791845846366</v>
      </c>
      <c r="L1739">
        <v>0</v>
      </c>
      <c r="M1739">
        <v>7.5942601109989553E-4</v>
      </c>
      <c r="N1739">
        <v>7.695140697307043E-2</v>
      </c>
      <c r="O1739">
        <v>1.0589402890699193E-2</v>
      </c>
      <c r="P1739">
        <v>1.368122925229002E-2</v>
      </c>
      <c r="Q1739">
        <v>4.7469082890630909E-4</v>
      </c>
      <c r="R1739">
        <v>7.5772964599465811E-4</v>
      </c>
      <c r="S1739">
        <v>7.3409740430871839E-2</v>
      </c>
      <c r="T1739">
        <v>0.81420487882849646</v>
      </c>
      <c r="U1739">
        <v>0</v>
      </c>
      <c r="V1739">
        <v>9.257475361510821E-2</v>
      </c>
      <c r="W1739">
        <v>4.9613224611300313E-2</v>
      </c>
      <c r="X1739">
        <v>7.7192632081112137E-3</v>
      </c>
      <c r="Y1739">
        <v>2.0622903108867881E-3</v>
      </c>
    </row>
    <row r="1740" spans="1:25" x14ac:dyDescent="0.25">
      <c r="A1740" s="1096"/>
      <c r="B1740" s="1455">
        <v>1490</v>
      </c>
      <c r="C1740" s="1100">
        <v>1.0170805907497213</v>
      </c>
      <c r="D1740" s="1100">
        <v>0.98689293878393369</v>
      </c>
      <c r="E1740" s="1100">
        <v>0.97555939933836677</v>
      </c>
      <c r="F1740" s="1100">
        <v>0.99229479565533485</v>
      </c>
      <c r="G1740" s="1100">
        <v>1.0004432128249403</v>
      </c>
      <c r="H1740" s="1100">
        <v>1.0269433728556627</v>
      </c>
      <c r="I1740" s="1100">
        <v>1.0352208360341588</v>
      </c>
      <c r="K1740">
        <v>1.1450363732122133</v>
      </c>
      <c r="L1740">
        <v>0</v>
      </c>
      <c r="M1740">
        <v>8.5500019967344756E-4</v>
      </c>
      <c r="N1740">
        <v>7.3077656008349465E-2</v>
      </c>
      <c r="O1740">
        <v>1.0221409916049591E-2</v>
      </c>
      <c r="P1740">
        <v>1.3254628868673615E-2</v>
      </c>
      <c r="Q1740">
        <v>4.3300256160984103E-4</v>
      </c>
      <c r="R1740">
        <v>8.5315626599133517E-4</v>
      </c>
      <c r="S1740">
        <v>7.5761111708156109E-2</v>
      </c>
      <c r="T1740">
        <v>0.822871268609488</v>
      </c>
      <c r="U1740">
        <v>0</v>
      </c>
      <c r="V1740">
        <v>9.1695179768809018E-2</v>
      </c>
      <c r="W1740">
        <v>4.8716381977968216E-2</v>
      </c>
      <c r="X1740">
        <v>6.6855676136508028E-3</v>
      </c>
      <c r="Y1740">
        <v>2.3220101131409166E-3</v>
      </c>
    </row>
    <row r="1741" spans="1:25" x14ac:dyDescent="0.25">
      <c r="A1741" s="1096"/>
      <c r="B1741" s="1455">
        <v>1491</v>
      </c>
      <c r="C1741" s="1100">
        <v>1.0349522999733984</v>
      </c>
      <c r="D1741" s="1100">
        <v>0.99420957168718771</v>
      </c>
      <c r="E1741" s="1100">
        <v>1.0051295367367001</v>
      </c>
      <c r="F1741" s="1100">
        <v>0.97693217429769441</v>
      </c>
      <c r="G1741" s="1100">
        <v>1.0045701985421365</v>
      </c>
      <c r="H1741" s="1100">
        <v>0.99681804416777053</v>
      </c>
      <c r="I1741" s="1100">
        <v>1.0052772898547875</v>
      </c>
      <c r="K1741">
        <v>1.1217039718950217</v>
      </c>
      <c r="L1741">
        <v>0</v>
      </c>
      <c r="M1741">
        <v>7.6487293314710905E-4</v>
      </c>
      <c r="N1741">
        <v>7.148349231418176E-2</v>
      </c>
      <c r="O1741">
        <v>1.0024629101114218E-2</v>
      </c>
      <c r="P1741">
        <v>1.3282286097822959E-2</v>
      </c>
      <c r="Q1741">
        <v>4.3754840769500688E-4</v>
      </c>
      <c r="R1741">
        <v>7.631735199769014E-4</v>
      </c>
      <c r="S1741">
        <v>7.0867437594342039E-2</v>
      </c>
      <c r="T1741">
        <v>0.80821009467431959</v>
      </c>
      <c r="U1741">
        <v>0</v>
      </c>
      <c r="V1741">
        <v>9.1454787055216064E-2</v>
      </c>
      <c r="W1741">
        <v>4.6817134540919056E-2</v>
      </c>
      <c r="X1741">
        <v>7.051154781287784E-3</v>
      </c>
      <c r="Y1741">
        <v>2.0771067412938787E-3</v>
      </c>
    </row>
    <row r="1742" spans="1:25" x14ac:dyDescent="0.25">
      <c r="A1742" s="1096"/>
      <c r="B1742" s="1455">
        <v>1492</v>
      </c>
      <c r="C1742" s="1100">
        <v>1.0263089867775959</v>
      </c>
      <c r="D1742" s="1100">
        <v>1.0224499454308633</v>
      </c>
      <c r="E1742" s="1100">
        <v>1.0229870522705544</v>
      </c>
      <c r="F1742" s="1100">
        <v>1.0390515979091193</v>
      </c>
      <c r="G1742" s="1100">
        <v>1.0204396732286596</v>
      </c>
      <c r="H1742" s="1100">
        <v>0.99282035393017698</v>
      </c>
      <c r="I1742" s="1100">
        <v>1.0090911147744173</v>
      </c>
      <c r="K1742">
        <v>1.1744700013627245</v>
      </c>
      <c r="L1742">
        <v>0</v>
      </c>
      <c r="M1742">
        <v>7.3197924830189413E-4</v>
      </c>
      <c r="N1742">
        <v>7.2196804209155016E-2</v>
      </c>
      <c r="O1742">
        <v>1.0002085386713461E-2</v>
      </c>
      <c r="P1742">
        <v>1.4162140926630044E-2</v>
      </c>
      <c r="Q1742">
        <v>4.4440985533367069E-4</v>
      </c>
      <c r="R1742">
        <v>7.3034637053895725E-4</v>
      </c>
      <c r="S1742">
        <v>7.0573241351482963E-2</v>
      </c>
      <c r="T1742">
        <v>0.85838114995392711</v>
      </c>
      <c r="U1742">
        <v>0</v>
      </c>
      <c r="V1742">
        <v>9.2337339265902763E-2</v>
      </c>
      <c r="W1742">
        <v>4.6790577040681604E-2</v>
      </c>
      <c r="X1742">
        <v>7.5961241886701421E-3</v>
      </c>
      <c r="Y1742">
        <v>1.9877620619906987E-3</v>
      </c>
    </row>
    <row r="1743" spans="1:25" x14ac:dyDescent="0.25">
      <c r="A1743" s="1096"/>
      <c r="B1743" s="1455">
        <v>1493</v>
      </c>
      <c r="C1743" s="1100">
        <v>0.98316325404636373</v>
      </c>
      <c r="D1743" s="1100">
        <v>0.98119365539425518</v>
      </c>
      <c r="E1743" s="1100">
        <v>0.99251351757567463</v>
      </c>
      <c r="F1743" s="1100">
        <v>1.0292402516129995</v>
      </c>
      <c r="G1743" s="1100">
        <v>0.9788436099674076</v>
      </c>
      <c r="H1743" s="1100">
        <v>1.0163388986883457</v>
      </c>
      <c r="I1743" s="1100">
        <v>0.99160922652616112</v>
      </c>
      <c r="K1743">
        <v>1.1797173998312434</v>
      </c>
      <c r="L1743">
        <v>0</v>
      </c>
      <c r="M1743">
        <v>8.4714762678254299E-4</v>
      </c>
      <c r="N1743">
        <v>7.6214791283213582E-2</v>
      </c>
      <c r="O1743">
        <v>1.06042275968371E-2</v>
      </c>
      <c r="P1743">
        <v>1.3812415680071981E-2</v>
      </c>
      <c r="Q1743">
        <v>4.5701008037550371E-4</v>
      </c>
      <c r="R1743">
        <v>8.4530156543755151E-4</v>
      </c>
      <c r="S1743">
        <v>7.48781027472461E-2</v>
      </c>
      <c r="T1743">
        <v>0.85234441001059369</v>
      </c>
      <c r="U1743">
        <v>0</v>
      </c>
      <c r="V1743">
        <v>9.1614324138253239E-2</v>
      </c>
      <c r="W1743">
        <v>5.029187622248283E-2</v>
      </c>
      <c r="X1743">
        <v>7.201455925978038E-3</v>
      </c>
      <c r="Y1743">
        <v>2.3006322075348586E-3</v>
      </c>
    </row>
    <row r="1744" spans="1:25" x14ac:dyDescent="0.25">
      <c r="A1744" s="1096"/>
      <c r="B1744" s="1455">
        <v>1494</v>
      </c>
      <c r="C1744" s="1100">
        <v>0.99410350667870295</v>
      </c>
      <c r="D1744" s="1100">
        <v>1.0230917917521078</v>
      </c>
      <c r="E1744" s="1100">
        <v>1.0093971397404882</v>
      </c>
      <c r="F1744" s="1100">
        <v>0.96312182367570354</v>
      </c>
      <c r="G1744" s="1100">
        <v>0.9707369434915637</v>
      </c>
      <c r="H1744" s="1100">
        <v>1.0083210806922371</v>
      </c>
      <c r="I1744" s="1100">
        <v>0.9906559130559327</v>
      </c>
      <c r="K1744">
        <v>1.1164016853192851</v>
      </c>
      <c r="L1744">
        <v>0</v>
      </c>
      <c r="M1744">
        <v>7.8929161229160025E-4</v>
      </c>
      <c r="N1744">
        <v>7.4724241141239753E-2</v>
      </c>
      <c r="O1744">
        <v>1.0319081545697694E-2</v>
      </c>
      <c r="P1744">
        <v>1.3174635543319324E-2</v>
      </c>
      <c r="Q1744">
        <v>4.5232893320698103E-4</v>
      </c>
      <c r="R1744">
        <v>7.8755795113574583E-4</v>
      </c>
      <c r="S1744">
        <v>7.2112571684757362E-2</v>
      </c>
      <c r="T1744">
        <v>0.79651372585256441</v>
      </c>
      <c r="U1744">
        <v>0</v>
      </c>
      <c r="V1744">
        <v>9.0993215125275986E-2</v>
      </c>
      <c r="W1744">
        <v>4.8816351406756685E-2</v>
      </c>
      <c r="X1744">
        <v>7.1537946230392909E-3</v>
      </c>
      <c r="Y1744">
        <v>2.1434731245826831E-3</v>
      </c>
    </row>
    <row r="1745" spans="1:25" x14ac:dyDescent="0.25">
      <c r="A1745" s="1096"/>
      <c r="B1745" s="1455">
        <v>1495</v>
      </c>
      <c r="C1745" s="1100">
        <v>0.99875713559206791</v>
      </c>
      <c r="D1745" s="1100">
        <v>0.96862152509307109</v>
      </c>
      <c r="E1745" s="1100">
        <v>1.0136373182685545</v>
      </c>
      <c r="F1745" s="1100">
        <v>1.0134557496893051</v>
      </c>
      <c r="G1745" s="1100">
        <v>0.96397712288630677</v>
      </c>
      <c r="H1745" s="1100">
        <v>0.99698513404227795</v>
      </c>
      <c r="I1745" s="1100">
        <v>1.0089421699502408</v>
      </c>
      <c r="K1745">
        <v>1.1621934915178571</v>
      </c>
      <c r="L1745">
        <v>0</v>
      </c>
      <c r="M1745">
        <v>7.8700346461486057E-4</v>
      </c>
      <c r="N1745">
        <v>7.5465529487664787E-2</v>
      </c>
      <c r="O1745">
        <v>1.0499660798302295E-2</v>
      </c>
      <c r="P1745">
        <v>1.3815587402359497E-2</v>
      </c>
      <c r="Q1745">
        <v>4.6219779980334136E-4</v>
      </c>
      <c r="R1745">
        <v>7.8525517434901851E-4</v>
      </c>
      <c r="S1745">
        <v>7.471513908520927E-2</v>
      </c>
      <c r="T1745">
        <v>0.83785761487460453</v>
      </c>
      <c r="U1745">
        <v>0</v>
      </c>
      <c r="V1745">
        <v>9.0588846870900977E-2</v>
      </c>
      <c r="W1745">
        <v>4.9177658061618314E-2</v>
      </c>
      <c r="X1745">
        <v>7.4757997023790742E-3</v>
      </c>
      <c r="Y1745">
        <v>2.137205725279374E-3</v>
      </c>
    </row>
    <row r="1746" spans="1:25" x14ac:dyDescent="0.25">
      <c r="A1746" s="1096"/>
      <c r="B1746" s="1455">
        <v>1496</v>
      </c>
      <c r="C1746" s="1100">
        <v>0.97272977453348608</v>
      </c>
      <c r="D1746" s="1100">
        <v>0.9901489198892639</v>
      </c>
      <c r="E1746" s="1100">
        <v>0.97643391923426526</v>
      </c>
      <c r="F1746" s="1100">
        <v>0.98058268033117602</v>
      </c>
      <c r="G1746" s="1100">
        <v>0.97665489107774583</v>
      </c>
      <c r="H1746" s="1100">
        <v>0.97327161279044472</v>
      </c>
      <c r="I1746" s="1100">
        <v>0.97244971767227106</v>
      </c>
      <c r="K1746">
        <v>1.1308045152427708</v>
      </c>
      <c r="L1746">
        <v>0</v>
      </c>
      <c r="M1746">
        <v>8.446171641233785E-4</v>
      </c>
      <c r="N1746">
        <v>7.2372906089189434E-2</v>
      </c>
      <c r="O1746">
        <v>1.0673669368284634E-2</v>
      </c>
      <c r="P1746">
        <v>1.308478782620329E-2</v>
      </c>
      <c r="Q1746">
        <v>4.5256430230981561E-4</v>
      </c>
      <c r="R1746">
        <v>8.4269517279400325E-4</v>
      </c>
      <c r="S1746">
        <v>7.2097024010210786E-2</v>
      </c>
      <c r="T1746">
        <v>0.81310143014455516</v>
      </c>
      <c r="U1746">
        <v>0</v>
      </c>
      <c r="V1746">
        <v>9.1788450734302612E-2</v>
      </c>
      <c r="W1746">
        <v>4.8221017416240908E-2</v>
      </c>
      <c r="X1746">
        <v>6.7210488768460197E-3</v>
      </c>
      <c r="Y1746">
        <v>2.2935384659562236E-3</v>
      </c>
    </row>
    <row r="1747" spans="1:25" x14ac:dyDescent="0.25">
      <c r="A1747" s="1096"/>
      <c r="B1747" s="1455">
        <v>1497</v>
      </c>
      <c r="C1747" s="1100">
        <v>0.97249481909701618</v>
      </c>
      <c r="D1747" s="1100">
        <v>0.99333765460797252</v>
      </c>
      <c r="E1747" s="1100">
        <v>0.97048364725780401</v>
      </c>
      <c r="F1747" s="1100">
        <v>0.97828137646484881</v>
      </c>
      <c r="G1747" s="1100">
        <v>0.99650445282547084</v>
      </c>
      <c r="H1747" s="1100">
        <v>1.0167060451186445</v>
      </c>
      <c r="I1747" s="1100">
        <v>1.0060352328636917</v>
      </c>
      <c r="K1747">
        <v>1.1390932198468542</v>
      </c>
      <c r="L1747">
        <v>0</v>
      </c>
      <c r="M1747">
        <v>8.9228895305560035E-4</v>
      </c>
      <c r="N1747">
        <v>7.5100245057357365E-2</v>
      </c>
      <c r="O1747">
        <v>1.066052675519474E-2</v>
      </c>
      <c r="P1747">
        <v>1.3072703821938331E-2</v>
      </c>
      <c r="Q1747">
        <v>4.4927171812045817E-4</v>
      </c>
      <c r="R1747">
        <v>8.9034522417168085E-4</v>
      </c>
      <c r="S1747">
        <v>7.6306476788784786E-2</v>
      </c>
      <c r="T1747">
        <v>0.81158356307391022</v>
      </c>
      <c r="U1747">
        <v>0</v>
      </c>
      <c r="V1747">
        <v>9.2642700019018961E-2</v>
      </c>
      <c r="W1747">
        <v>5.0219248838180304E-2</v>
      </c>
      <c r="X1747">
        <v>6.6372013052603557E-3</v>
      </c>
      <c r="Y1747">
        <v>2.4232261979710477E-3</v>
      </c>
    </row>
    <row r="1748" spans="1:25" x14ac:dyDescent="0.25">
      <c r="A1748" s="1096"/>
      <c r="B1748" s="1455">
        <v>1498</v>
      </c>
      <c r="C1748" s="1100">
        <v>1.0236429408038867</v>
      </c>
      <c r="D1748" s="1100">
        <v>0.99622862849117388</v>
      </c>
      <c r="E1748" s="1100">
        <v>1.0137639416167286</v>
      </c>
      <c r="F1748" s="1100">
        <v>1.0009668443215882</v>
      </c>
      <c r="G1748" s="1100">
        <v>1.0133321754445694</v>
      </c>
      <c r="H1748" s="1100">
        <v>0.97144925897355172</v>
      </c>
      <c r="I1748" s="1100">
        <v>1.0162250389667278</v>
      </c>
      <c r="K1748">
        <v>1.1416749370320702</v>
      </c>
      <c r="L1748">
        <v>0</v>
      </c>
      <c r="M1748">
        <v>7.3964480483027016E-4</v>
      </c>
      <c r="N1748">
        <v>7.0947279708209562E-2</v>
      </c>
      <c r="O1748">
        <v>1.0129930123203519E-2</v>
      </c>
      <c r="P1748">
        <v>1.364878932170408E-2</v>
      </c>
      <c r="Q1748">
        <v>4.459784915044562E-4</v>
      </c>
      <c r="R1748">
        <v>7.3795852879616325E-4</v>
      </c>
      <c r="S1748">
        <v>7.1338940935131143E-2</v>
      </c>
      <c r="T1748">
        <v>0.82752428603593398</v>
      </c>
      <c r="U1748">
        <v>0</v>
      </c>
      <c r="V1748">
        <v>9.2095141769665725E-2</v>
      </c>
      <c r="W1748">
        <v>4.6229866000038353E-2</v>
      </c>
      <c r="X1748">
        <v>7.3079310752922674E-3</v>
      </c>
      <c r="Y1748">
        <v>2.0084798474195183E-3</v>
      </c>
    </row>
    <row r="1749" spans="1:25" x14ac:dyDescent="0.25">
      <c r="A1749" s="1096"/>
      <c r="B1749" s="1455">
        <v>1499</v>
      </c>
      <c r="C1749" s="1100">
        <v>0.97607752481552446</v>
      </c>
      <c r="D1749" s="1100">
        <v>1.0059023266430036</v>
      </c>
      <c r="E1749" s="1100">
        <v>0.99660161591137197</v>
      </c>
      <c r="F1749" s="1100">
        <v>1.0093540164134871</v>
      </c>
      <c r="G1749" s="1100">
        <v>1.020961527009669</v>
      </c>
      <c r="H1749" s="1100">
        <v>0.99390034323796461</v>
      </c>
      <c r="I1749" s="1100">
        <v>0.98699575426343422</v>
      </c>
      <c r="K1749">
        <v>1.1602078312080337</v>
      </c>
      <c r="L1749">
        <v>0</v>
      </c>
      <c r="M1749">
        <v>8.1922765149739787E-4</v>
      </c>
      <c r="N1749">
        <v>7.4615573779050579E-2</v>
      </c>
      <c r="O1749">
        <v>1.0576842658580148E-2</v>
      </c>
      <c r="P1749">
        <v>1.3631442646325135E-2</v>
      </c>
      <c r="Q1749">
        <v>4.5771253388088561E-4</v>
      </c>
      <c r="R1749">
        <v>8.1740212836739739E-4</v>
      </c>
      <c r="S1749">
        <v>7.3204024657484074E-2</v>
      </c>
      <c r="T1749">
        <v>0.83560211777029048</v>
      </c>
      <c r="U1749">
        <v>0</v>
      </c>
      <c r="V1749">
        <v>9.359875116413216E-2</v>
      </c>
      <c r="W1749">
        <v>4.9116598878156767E-2</v>
      </c>
      <c r="X1749">
        <v>7.1818935063858507E-3</v>
      </c>
      <c r="Y1749">
        <v>2.2246991368768576E-3</v>
      </c>
    </row>
    <row r="1750" spans="1:25" x14ac:dyDescent="0.25">
      <c r="A1750" s="1096"/>
      <c r="B1750" s="1455">
        <v>1500</v>
      </c>
      <c r="C1750" s="1100">
        <v>1.0358705165243745</v>
      </c>
      <c r="D1750" s="1100">
        <v>1.0363493635699723</v>
      </c>
      <c r="E1750" s="1100">
        <v>0.9896970465386854</v>
      </c>
      <c r="F1750" s="1100">
        <v>0.98734743038446093</v>
      </c>
      <c r="G1750" s="1100">
        <v>1.0170221777330262</v>
      </c>
      <c r="H1750" s="1100">
        <v>1.0249329862053287</v>
      </c>
      <c r="I1750" s="1100">
        <v>0.9622389336173981</v>
      </c>
      <c r="K1750">
        <v>1.127847615560178</v>
      </c>
      <c r="L1750">
        <v>0</v>
      </c>
      <c r="M1750">
        <v>7.979383329596079E-4</v>
      </c>
      <c r="N1750">
        <v>7.1180256452243032E-2</v>
      </c>
      <c r="O1750">
        <v>9.8460034847910431E-3</v>
      </c>
      <c r="P1750">
        <v>1.3219540967937737E-2</v>
      </c>
      <c r="Q1750">
        <v>4.2312738713818189E-4</v>
      </c>
      <c r="R1750">
        <v>7.9621408612897218E-4</v>
      </c>
      <c r="S1750">
        <v>6.7375691976706911E-2</v>
      </c>
      <c r="T1750">
        <v>0.81783662639528365</v>
      </c>
      <c r="U1750">
        <v>0</v>
      </c>
      <c r="V1750">
        <v>9.1963991381961055E-2</v>
      </c>
      <c r="W1750">
        <v>4.7048982919803098E-2</v>
      </c>
      <c r="X1750">
        <v>6.7880865706032014E-3</v>
      </c>
      <c r="Y1750">
        <v>2.1670322705401109E-3</v>
      </c>
    </row>
    <row r="1751" spans="1:25" x14ac:dyDescent="0.25">
      <c r="A1751" s="1096"/>
      <c r="B1751" s="1455">
        <v>1501</v>
      </c>
      <c r="C1751" s="1100">
        <v>1.0028748243924435</v>
      </c>
      <c r="D1751" s="1100">
        <v>1.0388869125146345</v>
      </c>
      <c r="E1751" s="1100">
        <v>1.0012576099140238</v>
      </c>
      <c r="F1751" s="1100">
        <v>1.0213040471191956</v>
      </c>
      <c r="G1751" s="1100">
        <v>1.0087155123867915</v>
      </c>
      <c r="H1751" s="1100">
        <v>1.0128243788408247</v>
      </c>
      <c r="I1751" s="1100">
        <v>0.9802986724383036</v>
      </c>
      <c r="K1751">
        <v>1.1631971311758793</v>
      </c>
      <c r="L1751">
        <v>0</v>
      </c>
      <c r="M1751">
        <v>7.9439189965081216E-4</v>
      </c>
      <c r="N1751">
        <v>7.3381638779380892E-2</v>
      </c>
      <c r="O1751">
        <v>1.0163717441219439E-2</v>
      </c>
      <c r="P1751">
        <v>1.3754243739453539E-2</v>
      </c>
      <c r="Q1751">
        <v>4.418990774996111E-4</v>
      </c>
      <c r="R1751">
        <v>7.9265479397783048E-4</v>
      </c>
      <c r="S1751">
        <v>7.0349003807698957E-2</v>
      </c>
      <c r="T1751">
        <v>0.84518006935840384</v>
      </c>
      <c r="U1751">
        <v>0</v>
      </c>
      <c r="V1751">
        <v>9.2397423450604504E-2</v>
      </c>
      <c r="W1751">
        <v>4.817074724063343E-2</v>
      </c>
      <c r="X1751">
        <v>7.2027803360319954E-3</v>
      </c>
      <c r="Y1751">
        <v>2.1573450506250456E-3</v>
      </c>
    </row>
    <row r="1752" spans="1:25" x14ac:dyDescent="0.25">
      <c r="A1752" s="1096"/>
      <c r="B1752" s="1455">
        <v>1502</v>
      </c>
      <c r="C1752" s="1100">
        <v>1.0139290235689649</v>
      </c>
      <c r="D1752" s="1100">
        <v>1.0140005336294844</v>
      </c>
      <c r="E1752" s="1100">
        <v>0.9995962632644283</v>
      </c>
      <c r="F1752" s="1100">
        <v>0.99645185980427664</v>
      </c>
      <c r="G1752" s="1100">
        <v>1.0035113355560459</v>
      </c>
      <c r="H1752" s="1100">
        <v>0.99788862493276587</v>
      </c>
      <c r="I1752" s="1100">
        <v>0.98787669599424388</v>
      </c>
      <c r="K1752">
        <v>1.1397328872611934</v>
      </c>
      <c r="L1752">
        <v>0</v>
      </c>
      <c r="M1752">
        <v>7.8438753471058906E-4</v>
      </c>
      <c r="N1752">
        <v>7.2092362402546586E-2</v>
      </c>
      <c r="O1752">
        <v>1.0150348988979463E-2</v>
      </c>
      <c r="P1752">
        <v>1.3452483501366434E-2</v>
      </c>
      <c r="Q1752">
        <v>4.4058165224039825E-4</v>
      </c>
      <c r="R1752">
        <v>7.8264663325194829E-4</v>
      </c>
      <c r="S1752">
        <v>7.0404907829851815E-2</v>
      </c>
      <c r="T1752">
        <v>0.82472321994935005</v>
      </c>
      <c r="U1752">
        <v>0</v>
      </c>
      <c r="V1752">
        <v>9.1905273986868791E-2</v>
      </c>
      <c r="W1752">
        <v>4.7371148904834681E-2</v>
      </c>
      <c r="X1752">
        <v>7.0641948102952799E-3</v>
      </c>
      <c r="Y1752">
        <v>2.1301061363184904E-3</v>
      </c>
    </row>
    <row r="1753" spans="1:25" x14ac:dyDescent="0.25">
      <c r="A1753" s="1096"/>
      <c r="B1753" s="1455">
        <v>1503</v>
      </c>
      <c r="C1753" s="1100">
        <v>1.0239373215723531</v>
      </c>
      <c r="D1753" s="1100">
        <v>0.99012930202116511</v>
      </c>
      <c r="E1753" s="1100">
        <v>1.0188904713647726</v>
      </c>
      <c r="F1753" s="1100">
        <v>0.98301205179311024</v>
      </c>
      <c r="G1753" s="1100">
        <v>1.0067235462732622</v>
      </c>
      <c r="H1753" s="1100">
        <v>0.9739227933767628</v>
      </c>
      <c r="I1753" s="1100">
        <v>0.9836955688468505</v>
      </c>
      <c r="K1753">
        <v>1.1250499203092896</v>
      </c>
      <c r="L1753">
        <v>0</v>
      </c>
      <c r="M1753">
        <v>7.3525793509311461E-4</v>
      </c>
      <c r="N1753">
        <v>7.1626416874845777E-2</v>
      </c>
      <c r="O1753">
        <v>1.0153574644163129E-2</v>
      </c>
      <c r="P1753">
        <v>1.3459209964910313E-2</v>
      </c>
      <c r="Q1753">
        <v>4.4930815239789231E-4</v>
      </c>
      <c r="R1753">
        <v>7.3358591778776574E-4</v>
      </c>
      <c r="S1753">
        <v>6.9357188439686648E-2</v>
      </c>
      <c r="T1753">
        <v>0.81234964186839453</v>
      </c>
      <c r="U1753">
        <v>0</v>
      </c>
      <c r="V1753">
        <v>9.1806459736833296E-2</v>
      </c>
      <c r="W1753">
        <v>4.6532219374135292E-2</v>
      </c>
      <c r="X1753">
        <v>7.3209942295419444E-3</v>
      </c>
      <c r="Y1753">
        <v>1.9965790416854924E-3</v>
      </c>
    </row>
    <row r="1754" spans="1:25" x14ac:dyDescent="0.25">
      <c r="A1754" s="1096"/>
      <c r="B1754" s="1455">
        <v>1504</v>
      </c>
      <c r="C1754" s="1100">
        <v>0.99482350047273438</v>
      </c>
      <c r="D1754" s="1100">
        <v>1.0151942753662504</v>
      </c>
      <c r="E1754" s="1100">
        <v>1.0251273359610997</v>
      </c>
      <c r="F1754" s="1100">
        <v>0.99994262700999348</v>
      </c>
      <c r="G1754" s="1100">
        <v>0.95862766933169674</v>
      </c>
      <c r="H1754" s="1100">
        <v>0.97311391811334735</v>
      </c>
      <c r="I1754" s="1100">
        <v>1.0036268007119229</v>
      </c>
      <c r="K1754">
        <v>1.1431983448248966</v>
      </c>
      <c r="L1754">
        <v>0</v>
      </c>
      <c r="M1754">
        <v>7.3896837241213726E-4</v>
      </c>
      <c r="N1754">
        <v>7.3354827364414274E-2</v>
      </c>
      <c r="O1754">
        <v>1.0348783303753021E-2</v>
      </c>
      <c r="P1754">
        <v>1.3725755163238181E-2</v>
      </c>
      <c r="Q1754">
        <v>4.6079146565938681E-4</v>
      </c>
      <c r="R1754">
        <v>7.3728652053271879E-4</v>
      </c>
      <c r="S1754">
        <v>7.1876000482207103E-2</v>
      </c>
      <c r="T1754">
        <v>0.82593243249565507</v>
      </c>
      <c r="U1754">
        <v>0</v>
      </c>
      <c r="V1754">
        <v>9.0460542082461751E-2</v>
      </c>
      <c r="W1754">
        <v>4.748178564817964E-2</v>
      </c>
      <c r="X1754">
        <v>7.5524578087516649E-3</v>
      </c>
      <c r="Y1754">
        <v>2.006650862453887E-3</v>
      </c>
    </row>
    <row r="1755" spans="1:25" x14ac:dyDescent="0.25">
      <c r="A1755" s="1096"/>
      <c r="B1755" s="1455">
        <v>1505</v>
      </c>
      <c r="C1755" s="1100">
        <v>0.97650595288659525</v>
      </c>
      <c r="D1755" s="1100">
        <v>0.98854052559255645</v>
      </c>
      <c r="E1755" s="1100">
        <v>1.0377916798976554</v>
      </c>
      <c r="F1755" s="1100">
        <v>1.0304493074012901</v>
      </c>
      <c r="G1755" s="1100">
        <v>0.99862626277498046</v>
      </c>
      <c r="H1755" s="1100">
        <v>0.99578093422250313</v>
      </c>
      <c r="I1755" s="1100">
        <v>1.0030228585365855</v>
      </c>
      <c r="K1755">
        <v>1.1820449842551881</v>
      </c>
      <c r="L1755">
        <v>0</v>
      </c>
      <c r="M1755">
        <v>7.5832542044180942E-4</v>
      </c>
      <c r="N1755">
        <v>7.8209508533271854E-2</v>
      </c>
      <c r="O1755">
        <v>1.0659992458299534E-2</v>
      </c>
      <c r="P1755">
        <v>1.4270407047232614E-2</v>
      </c>
      <c r="Q1755">
        <v>4.8062412658746715E-4</v>
      </c>
      <c r="R1755">
        <v>7.566387998989688E-4</v>
      </c>
      <c r="S1755">
        <v>7.5157234591441469E-2</v>
      </c>
      <c r="T1755">
        <v>0.85027967130354642</v>
      </c>
      <c r="U1755">
        <v>0</v>
      </c>
      <c r="V1755">
        <v>9.2639802200343582E-2</v>
      </c>
      <c r="W1755">
        <v>5.0253798002177434E-2</v>
      </c>
      <c r="X1755">
        <v>8.0363112254170383E-3</v>
      </c>
      <c r="Y1755">
        <v>2.0593213874116416E-3</v>
      </c>
    </row>
    <row r="1756" spans="1:25" x14ac:dyDescent="0.25">
      <c r="A1756" s="1096"/>
      <c r="B1756" s="1455">
        <v>1506</v>
      </c>
      <c r="C1756" s="1100">
        <v>0.96219128192184544</v>
      </c>
      <c r="D1756" s="1100">
        <v>1.012709223256699</v>
      </c>
      <c r="E1756" s="1100">
        <v>1.0013090495422563</v>
      </c>
      <c r="F1756" s="1100">
        <v>1.0425672751901003</v>
      </c>
      <c r="G1756" s="1100">
        <v>1.0065599714522877</v>
      </c>
      <c r="H1756" s="1100">
        <v>0.99662153184035718</v>
      </c>
      <c r="I1756" s="1100">
        <v>1.0048304962703232</v>
      </c>
      <c r="K1756">
        <v>1.1924434338618497</v>
      </c>
      <c r="L1756">
        <v>0</v>
      </c>
      <c r="M1756">
        <v>8.2300655247014942E-4</v>
      </c>
      <c r="N1756">
        <v>7.6034011801078077E-2</v>
      </c>
      <c r="O1756">
        <v>1.0702173935301434E-2</v>
      </c>
      <c r="P1756">
        <v>1.4077668323315107E-2</v>
      </c>
      <c r="Q1756">
        <v>4.6533418325771567E-4</v>
      </c>
      <c r="R1756">
        <v>8.2117761606358987E-4</v>
      </c>
      <c r="S1756">
        <v>7.5461761676280312E-2</v>
      </c>
      <c r="T1756">
        <v>0.86277290349050029</v>
      </c>
      <c r="U1756">
        <v>0</v>
      </c>
      <c r="V1756">
        <v>9.3350169138755781E-2</v>
      </c>
      <c r="W1756">
        <v>4.9910350373918673E-2</v>
      </c>
      <c r="X1756">
        <v>7.4359151060516115E-3</v>
      </c>
      <c r="Y1756">
        <v>2.2349747697967084E-3</v>
      </c>
    </row>
    <row r="1757" spans="1:25" x14ac:dyDescent="0.25">
      <c r="A1757" s="1096"/>
      <c r="B1757" s="1455">
        <v>1507</v>
      </c>
      <c r="C1757" s="1100">
        <v>1.0220482947437095</v>
      </c>
      <c r="D1757" s="1100">
        <v>0.98619915642356626</v>
      </c>
      <c r="E1757" s="1100">
        <v>0.98853117413202252</v>
      </c>
      <c r="F1757" s="1100">
        <v>1.0393088857290727</v>
      </c>
      <c r="G1757" s="1100">
        <v>1.011339769187795</v>
      </c>
      <c r="H1757" s="1100">
        <v>1.0088790577694156</v>
      </c>
      <c r="I1757" s="1100">
        <v>1.0065752075961079</v>
      </c>
      <c r="K1757">
        <v>1.179584041512546</v>
      </c>
      <c r="L1757">
        <v>0</v>
      </c>
      <c r="M1757">
        <v>8.1397701953948973E-4</v>
      </c>
      <c r="N1757">
        <v>7.235298203083787E-2</v>
      </c>
      <c r="O1757">
        <v>1.0178755251414004E-2</v>
      </c>
      <c r="P1757">
        <v>1.3862715632656246E-2</v>
      </c>
      <c r="Q1757">
        <v>4.3691181421388149E-4</v>
      </c>
      <c r="R1757">
        <v>8.1219012626298115E-4</v>
      </c>
      <c r="S1757">
        <v>7.2620681168703724E-2</v>
      </c>
      <c r="T1757">
        <v>0.86095782882678229</v>
      </c>
      <c r="U1757">
        <v>0</v>
      </c>
      <c r="V1757">
        <v>9.2044371484728799E-2</v>
      </c>
      <c r="W1757">
        <v>4.7857572149063381E-2</v>
      </c>
      <c r="X1757">
        <v>7.0634962621375372E-3</v>
      </c>
      <c r="Y1757">
        <v>2.2105137852846688E-3</v>
      </c>
    </row>
    <row r="1758" spans="1:25" x14ac:dyDescent="0.25">
      <c r="A1758" s="1096"/>
      <c r="B1758" s="1455">
        <v>1508</v>
      </c>
      <c r="C1758" s="1100">
        <v>0.96986463943911183</v>
      </c>
      <c r="D1758" s="1100">
        <v>1.0095530585544927</v>
      </c>
      <c r="E1758" s="1100">
        <v>0.99182358859150066</v>
      </c>
      <c r="F1758" s="1100">
        <v>1.0442203478177545</v>
      </c>
      <c r="G1758" s="1100">
        <v>1.0069313517978751</v>
      </c>
      <c r="H1758" s="1100">
        <v>1.0117872920300575</v>
      </c>
      <c r="I1758" s="1100">
        <v>0.96256004838969944</v>
      </c>
      <c r="K1758">
        <v>1.1911350601521153</v>
      </c>
      <c r="L1758">
        <v>0</v>
      </c>
      <c r="M1758">
        <v>8.4643826241444426E-4</v>
      </c>
      <c r="N1758">
        <v>7.5991568994780198E-2</v>
      </c>
      <c r="O1758">
        <v>1.0627578449574977E-2</v>
      </c>
      <c r="P1758">
        <v>1.3961718473597911E-2</v>
      </c>
      <c r="Q1758">
        <v>4.576975257963964E-4</v>
      </c>
      <c r="R1758">
        <v>8.4458544917872375E-4</v>
      </c>
      <c r="S1758">
        <v>7.2429322003105853E-2</v>
      </c>
      <c r="T1758">
        <v>0.86479775153650595</v>
      </c>
      <c r="U1758">
        <v>0</v>
      </c>
      <c r="V1758">
        <v>9.3160794985685705E-2</v>
      </c>
      <c r="W1758">
        <v>5.0165272447732168E-2</v>
      </c>
      <c r="X1758">
        <v>7.2465253734253447E-3</v>
      </c>
      <c r="Y1758">
        <v>2.2986831751459903E-3</v>
      </c>
    </row>
    <row r="1759" spans="1:25" x14ac:dyDescent="0.25">
      <c r="A1759" s="1096"/>
      <c r="B1759" s="1455">
        <v>1509</v>
      </c>
      <c r="C1759" s="1100">
        <v>1.0004447345631937</v>
      </c>
      <c r="D1759" s="1100">
        <v>0.99716841304095061</v>
      </c>
      <c r="E1759" s="1100">
        <v>1.0342832231744716</v>
      </c>
      <c r="F1759" s="1100">
        <v>1.0209159044957061</v>
      </c>
      <c r="G1759" s="1100">
        <v>0.99588203648538742</v>
      </c>
      <c r="H1759" s="1100">
        <v>1.0086807104424422</v>
      </c>
      <c r="I1759" s="1100">
        <v>1.0110677231308693</v>
      </c>
      <c r="K1759">
        <v>1.1698041315949821</v>
      </c>
      <c r="L1759">
        <v>0</v>
      </c>
      <c r="M1759">
        <v>7.5265439470329528E-4</v>
      </c>
      <c r="N1759">
        <v>7.6810508631695279E-2</v>
      </c>
      <c r="O1759">
        <v>1.0367658498675658E-2</v>
      </c>
      <c r="P1759">
        <v>1.4103205181365912E-2</v>
      </c>
      <c r="Q1759">
        <v>4.6583043125937904E-4</v>
      </c>
      <c r="R1759">
        <v>7.5100179578549311E-4</v>
      </c>
      <c r="S1759">
        <v>7.4144906433948568E-2</v>
      </c>
      <c r="T1759">
        <v>0.84264609395650092</v>
      </c>
      <c r="U1759">
        <v>0</v>
      </c>
      <c r="V1759">
        <v>9.1914264302097148E-2</v>
      </c>
      <c r="W1759">
        <v>4.9455007207977825E-2</v>
      </c>
      <c r="X1759">
        <v>7.8543302299266052E-3</v>
      </c>
      <c r="Y1759">
        <v>2.0439793204526675E-3</v>
      </c>
    </row>
    <row r="1760" spans="1:25" x14ac:dyDescent="0.25">
      <c r="A1760" s="1096"/>
      <c r="B1760" s="1455">
        <v>1510</v>
      </c>
      <c r="C1760" s="1100">
        <v>0.96640921282426728</v>
      </c>
      <c r="D1760" s="1100">
        <v>0.9824605880393763</v>
      </c>
      <c r="E1760" s="1100">
        <v>0.99811677774933516</v>
      </c>
      <c r="F1760" s="1100">
        <v>0.98748003670891238</v>
      </c>
      <c r="G1760" s="1100">
        <v>1.0017702218425624</v>
      </c>
      <c r="H1760" s="1100">
        <v>0.98953987497868523</v>
      </c>
      <c r="I1760" s="1100">
        <v>0.99896802577096233</v>
      </c>
      <c r="K1760">
        <v>1.1458275126495394</v>
      </c>
      <c r="L1760">
        <v>0</v>
      </c>
      <c r="M1760">
        <v>8.2899172401703898E-4</v>
      </c>
      <c r="N1760">
        <v>7.5850635963366025E-2</v>
      </c>
      <c r="O1760">
        <v>1.0784409461985724E-2</v>
      </c>
      <c r="P1760">
        <v>1.3423504544065216E-2</v>
      </c>
      <c r="Q1760">
        <v>4.6740734467353492E-4</v>
      </c>
      <c r="R1760">
        <v>8.271363029928525E-4</v>
      </c>
      <c r="S1760">
        <v>7.5562706411340594E-2</v>
      </c>
      <c r="T1760">
        <v>0.81739437874580079</v>
      </c>
      <c r="U1760">
        <v>0</v>
      </c>
      <c r="V1760">
        <v>9.3032460558478774E-2</v>
      </c>
      <c r="W1760">
        <v>4.9884556813521698E-2</v>
      </c>
      <c r="X1760">
        <v>7.178115875992189E-3</v>
      </c>
      <c r="Y1760">
        <v>2.2511923513375432E-3</v>
      </c>
    </row>
    <row r="1761" spans="1:25" x14ac:dyDescent="0.25">
      <c r="A1761" s="1096"/>
      <c r="B1761" s="1455">
        <v>1511</v>
      </c>
      <c r="C1761" s="1100">
        <v>0.98172542942128072</v>
      </c>
      <c r="D1761" s="1100">
        <v>1.011915787734202</v>
      </c>
      <c r="E1761" s="1100">
        <v>1.0018808775665502</v>
      </c>
      <c r="F1761" s="1100">
        <v>0.98462835070681831</v>
      </c>
      <c r="G1761" s="1100">
        <v>1.0275328401762311</v>
      </c>
      <c r="H1761" s="1100">
        <v>0.9600736443617045</v>
      </c>
      <c r="I1761" s="1100">
        <v>0.97451515546305056</v>
      </c>
      <c r="K1761">
        <v>1.1313450883692886</v>
      </c>
      <c r="L1761">
        <v>0</v>
      </c>
      <c r="M1761">
        <v>7.7637196593327139E-4</v>
      </c>
      <c r="N1761">
        <v>7.1843559404918128E-2</v>
      </c>
      <c r="O1761">
        <v>1.0492703356877034E-2</v>
      </c>
      <c r="P1761">
        <v>1.336324446260161E-2</v>
      </c>
      <c r="Q1761">
        <v>4.5648840893949523E-4</v>
      </c>
      <c r="R1761">
        <v>7.7458098535965214E-4</v>
      </c>
      <c r="S1761">
        <v>7.0289365545340765E-2</v>
      </c>
      <c r="T1761">
        <v>0.81478850239457801</v>
      </c>
      <c r="U1761">
        <v>0</v>
      </c>
      <c r="V1761">
        <v>9.3734377739619054E-2</v>
      </c>
      <c r="W1761">
        <v>4.714364291234914E-2</v>
      </c>
      <c r="X1761">
        <v>7.1268410230426443E-3</v>
      </c>
      <c r="Y1761">
        <v>2.1081541015957731E-3</v>
      </c>
    </row>
    <row r="1762" spans="1:25" x14ac:dyDescent="0.25">
      <c r="A1762" s="1096"/>
      <c r="B1762" s="1455">
        <v>1512</v>
      </c>
      <c r="C1762" s="1100">
        <v>0.98277765407397111</v>
      </c>
      <c r="D1762" s="1100">
        <v>0.98726428345798456</v>
      </c>
      <c r="E1762" s="1100">
        <v>1.0015147223492102</v>
      </c>
      <c r="F1762" s="1100">
        <v>0.9679914683672376</v>
      </c>
      <c r="G1762" s="1100">
        <v>1.0170271362598016</v>
      </c>
      <c r="H1762" s="1100">
        <v>1.0074488128042558</v>
      </c>
      <c r="I1762" s="1100">
        <v>0.97147993764678997</v>
      </c>
      <c r="K1762">
        <v>1.1266417088846501</v>
      </c>
      <c r="L1762">
        <v>0</v>
      </c>
      <c r="M1762">
        <v>8.2250277887758018E-4</v>
      </c>
      <c r="N1762">
        <v>7.6036517342076532E-2</v>
      </c>
      <c r="O1762">
        <v>1.0585259533028806E-2</v>
      </c>
      <c r="P1762">
        <v>1.3199929475863724E-2</v>
      </c>
      <c r="Q1762">
        <v>4.603457918912896E-4</v>
      </c>
      <c r="R1762">
        <v>8.2069460595087798E-4</v>
      </c>
      <c r="S1762">
        <v>7.2806413955987956E-2</v>
      </c>
      <c r="T1762">
        <v>0.80104478372316745</v>
      </c>
      <c r="U1762">
        <v>0</v>
      </c>
      <c r="V1762">
        <v>9.3258154925210182E-2</v>
      </c>
      <c r="W1762">
        <v>4.9905900958008578E-2</v>
      </c>
      <c r="X1762">
        <v>7.1125511768458253E-3</v>
      </c>
      <c r="Y1762">
        <v>2.2336601754941476E-3</v>
      </c>
    </row>
    <row r="1763" spans="1:25" x14ac:dyDescent="0.25">
      <c r="A1763" s="1096"/>
      <c r="B1763" s="1455">
        <v>1513</v>
      </c>
      <c r="C1763" s="1100">
        <v>1.0192706211615541</v>
      </c>
      <c r="D1763" s="1100">
        <v>1.0201534832306831</v>
      </c>
      <c r="E1763" s="1100">
        <v>1.0051488073277037</v>
      </c>
      <c r="F1763" s="1100">
        <v>1.0317567908793421</v>
      </c>
      <c r="G1763" s="1100">
        <v>0.98221741763977233</v>
      </c>
      <c r="H1763" s="1100">
        <v>1.002802468120886</v>
      </c>
      <c r="I1763" s="1100">
        <v>1.031116403249293</v>
      </c>
      <c r="K1763">
        <v>1.1709485976694218</v>
      </c>
      <c r="L1763">
        <v>0</v>
      </c>
      <c r="M1763">
        <v>7.7326297995504196E-4</v>
      </c>
      <c r="N1763">
        <v>7.2272775681449616E-2</v>
      </c>
      <c r="O1763">
        <v>1.0074520265515745E-2</v>
      </c>
      <c r="P1763">
        <v>1.3925379589605514E-2</v>
      </c>
      <c r="Q1763">
        <v>4.3973451794891434E-4</v>
      </c>
      <c r="R1763">
        <v>7.7155517840858711E-4</v>
      </c>
      <c r="S1763">
        <v>7.3082090037391328E-2</v>
      </c>
      <c r="T1763">
        <v>0.85356485624505529</v>
      </c>
      <c r="U1763">
        <v>0</v>
      </c>
      <c r="V1763">
        <v>9.086765329359496E-2</v>
      </c>
      <c r="W1763">
        <v>4.7333524937354425E-2</v>
      </c>
      <c r="X1763">
        <v>7.2898520505195732E-3</v>
      </c>
      <c r="Y1763">
        <v>2.0999188525319679E-3</v>
      </c>
    </row>
    <row r="1764" spans="1:25" x14ac:dyDescent="0.25">
      <c r="A1764" s="1096"/>
      <c r="B1764" s="1455">
        <v>1514</v>
      </c>
      <c r="C1764" s="1100">
        <v>0.99609466983100137</v>
      </c>
      <c r="D1764" s="1100">
        <v>1.0035641167649478</v>
      </c>
      <c r="E1764" s="1100">
        <v>1.0003018538398345</v>
      </c>
      <c r="F1764" s="1100">
        <v>1.0007772561452135</v>
      </c>
      <c r="G1764" s="1100">
        <v>0.98248004141554424</v>
      </c>
      <c r="H1764" s="1100">
        <v>0.96629252435633306</v>
      </c>
      <c r="I1764" s="1100">
        <v>1.0121957066651281</v>
      </c>
      <c r="K1764">
        <v>1.144106178120339</v>
      </c>
      <c r="L1764">
        <v>0</v>
      </c>
      <c r="M1764">
        <v>7.752214128533357E-4</v>
      </c>
      <c r="N1764">
        <v>7.1396767916714343E-2</v>
      </c>
      <c r="O1764">
        <v>1.0375160595615881E-2</v>
      </c>
      <c r="P1764">
        <v>1.3530282931537164E-2</v>
      </c>
      <c r="Q1764">
        <v>4.5065925097152916E-4</v>
      </c>
      <c r="R1764">
        <v>7.7344459578138839E-4</v>
      </c>
      <c r="S1764">
        <v>7.251707960090463E-2</v>
      </c>
      <c r="T1764">
        <v>0.82825642601330995</v>
      </c>
      <c r="U1764">
        <v>0</v>
      </c>
      <c r="V1764">
        <v>9.1443848015684046E-2</v>
      </c>
      <c r="W1764">
        <v>4.6894410170184662E-2</v>
      </c>
      <c r="X1764">
        <v>7.1382592187142751E-3</v>
      </c>
      <c r="Y1764">
        <v>2.1050612237744635E-3</v>
      </c>
    </row>
    <row r="1765" spans="1:25" x14ac:dyDescent="0.25">
      <c r="A1765" s="1096"/>
      <c r="B1765" s="1455">
        <v>1515</v>
      </c>
      <c r="C1765" s="1100">
        <v>1.0292181076424327</v>
      </c>
      <c r="D1765" s="1100">
        <v>1.0308249840171388</v>
      </c>
      <c r="E1765" s="1100">
        <v>0.96661419228659495</v>
      </c>
      <c r="F1765" s="1100">
        <v>1.0260598842542048</v>
      </c>
      <c r="G1765" s="1100">
        <v>0.99901237407224541</v>
      </c>
      <c r="H1765" s="1100">
        <v>0.98425481814020743</v>
      </c>
      <c r="I1765" s="1100">
        <v>1.0321257443663538</v>
      </c>
      <c r="K1765">
        <v>1.1593260844261948</v>
      </c>
      <c r="L1765">
        <v>0</v>
      </c>
      <c r="M1765">
        <v>8.106451718612721E-4</v>
      </c>
      <c r="N1765">
        <v>6.742896922679617E-2</v>
      </c>
      <c r="O1765">
        <v>9.9236263005548688E-3</v>
      </c>
      <c r="P1765">
        <v>1.3479930045379465E-2</v>
      </c>
      <c r="Q1765">
        <v>4.1656410381124141E-4</v>
      </c>
      <c r="R1765">
        <v>8.0882107108201954E-4</v>
      </c>
      <c r="S1765">
        <v>7.1269402113365743E-2</v>
      </c>
      <c r="T1765">
        <v>0.85148756981154816</v>
      </c>
      <c r="U1765">
        <v>0</v>
      </c>
      <c r="V1765">
        <v>9.1345707960564126E-2</v>
      </c>
      <c r="W1765">
        <v>4.5195933072983675E-2</v>
      </c>
      <c r="X1765">
        <v>6.5788615642782683E-3</v>
      </c>
      <c r="Y1765">
        <v>2.2013443276908333E-3</v>
      </c>
    </row>
    <row r="1766" spans="1:25" x14ac:dyDescent="0.25">
      <c r="A1766" s="1096"/>
      <c r="B1766" s="1455">
        <v>1516</v>
      </c>
      <c r="C1766" s="1100">
        <v>0.99747731406188944</v>
      </c>
      <c r="D1766" s="1100">
        <v>1.0055378240077599</v>
      </c>
      <c r="E1766" s="1100">
        <v>1.0298821356931529</v>
      </c>
      <c r="F1766" s="1100">
        <v>0.98616165473784334</v>
      </c>
      <c r="G1766" s="1100">
        <v>0.98595571318018504</v>
      </c>
      <c r="H1766" s="1100">
        <v>1.0157764426174252</v>
      </c>
      <c r="I1766" s="1100">
        <v>0.99106711011936477</v>
      </c>
      <c r="K1766">
        <v>1.1395597894978526</v>
      </c>
      <c r="L1766">
        <v>0</v>
      </c>
      <c r="M1766">
        <v>7.6464920269165453E-4</v>
      </c>
      <c r="N1766">
        <v>7.7007473696945883E-2</v>
      </c>
      <c r="O1766">
        <v>1.0362346779735153E-2</v>
      </c>
      <c r="P1766">
        <v>1.3639674790905451E-2</v>
      </c>
      <c r="Q1766">
        <v>4.6357253046618323E-4</v>
      </c>
      <c r="R1766">
        <v>7.6298199509213622E-4</v>
      </c>
      <c r="S1766">
        <v>7.2863832252750907E-2</v>
      </c>
      <c r="T1766">
        <v>0.81424337309114125</v>
      </c>
      <c r="U1766">
        <v>0</v>
      </c>
      <c r="V1766">
        <v>9.1563021318243398E-2</v>
      </c>
      <c r="W1766">
        <v>4.9708447192058462E-2</v>
      </c>
      <c r="X1766">
        <v>7.6331295795119478E-3</v>
      </c>
      <c r="Y1766">
        <v>2.0765854736937085E-3</v>
      </c>
    </row>
    <row r="1767" spans="1:25" x14ac:dyDescent="0.25">
      <c r="A1767" s="1096"/>
      <c r="B1767" s="1455">
        <v>1517</v>
      </c>
      <c r="C1767" s="1100">
        <v>1.002853318860101</v>
      </c>
      <c r="D1767" s="1100">
        <v>1.0282495068708928</v>
      </c>
      <c r="E1767" s="1100">
        <v>1.0245491302032503</v>
      </c>
      <c r="F1767" s="1100">
        <v>1.0120989882107136</v>
      </c>
      <c r="G1767" s="1100">
        <v>0.97278329831672994</v>
      </c>
      <c r="H1767" s="1100">
        <v>0.99274878086888807</v>
      </c>
      <c r="I1767" s="1100">
        <v>1.0180957276053857</v>
      </c>
      <c r="K1767">
        <v>1.1552954119942158</v>
      </c>
      <c r="L1767">
        <v>0</v>
      </c>
      <c r="M1767">
        <v>7.4492623190795056E-4</v>
      </c>
      <c r="N1767">
        <v>7.3820745894906892E-2</v>
      </c>
      <c r="O1767">
        <v>1.0213396870312219E-2</v>
      </c>
      <c r="P1767">
        <v>1.3876332087298918E-2</v>
      </c>
      <c r="Q1767">
        <v>4.545025917585956E-4</v>
      </c>
      <c r="R1767">
        <v>7.4326435258909626E-4</v>
      </c>
      <c r="S1767">
        <v>7.2656095080988248E-2</v>
      </c>
      <c r="T1767">
        <v>0.83601161361043286</v>
      </c>
      <c r="U1767">
        <v>0</v>
      </c>
      <c r="V1767">
        <v>9.0865857886642268E-2</v>
      </c>
      <c r="W1767">
        <v>4.779947524676513E-2</v>
      </c>
      <c r="X1767">
        <v>7.5761340537085185E-3</v>
      </c>
      <c r="Y1767">
        <v>2.0229205507195386E-3</v>
      </c>
    </row>
    <row r="1768" spans="1:25" x14ac:dyDescent="0.25">
      <c r="A1768" s="1096"/>
      <c r="B1768" s="1455">
        <v>1518</v>
      </c>
      <c r="C1768" s="1100">
        <v>1.0146575107498084</v>
      </c>
      <c r="D1768" s="1100">
        <v>0.99587980515862096</v>
      </c>
      <c r="E1768" s="1100">
        <v>1.005305049422055</v>
      </c>
      <c r="F1768" s="1100">
        <v>0.99628487499944685</v>
      </c>
      <c r="G1768" s="1100">
        <v>0.99284426022842232</v>
      </c>
      <c r="H1768" s="1100">
        <v>1.0055154457033135</v>
      </c>
      <c r="I1768" s="1100">
        <v>0.9888846096660473</v>
      </c>
      <c r="K1768">
        <v>1.1421796666953867</v>
      </c>
      <c r="L1768">
        <v>0</v>
      </c>
      <c r="M1768">
        <v>7.8616403715795293E-4</v>
      </c>
      <c r="N1768">
        <v>7.3513687641223693E-2</v>
      </c>
      <c r="O1768">
        <v>1.0218331566970445E-2</v>
      </c>
      <c r="P1768">
        <v>1.3509825753422694E-2</v>
      </c>
      <c r="Q1768">
        <v>4.4608147012080202E-4</v>
      </c>
      <c r="R1768">
        <v>7.8443242747776201E-4</v>
      </c>
      <c r="S1768">
        <v>7.1390549264565395E-2</v>
      </c>
      <c r="T1768">
        <v>0.82420892017201552</v>
      </c>
      <c r="U1768">
        <v>0</v>
      </c>
      <c r="V1768">
        <v>9.14325274585846E-2</v>
      </c>
      <c r="W1768">
        <v>4.8141781628988703E-2</v>
      </c>
      <c r="X1768">
        <v>7.1847268696609489E-3</v>
      </c>
      <c r="Y1768">
        <v>2.1349664795142463E-3</v>
      </c>
    </row>
    <row r="1769" spans="1:25" x14ac:dyDescent="0.25">
      <c r="A1769" s="1096"/>
      <c r="B1769" s="1455">
        <v>1519</v>
      </c>
      <c r="C1769" s="1100">
        <v>1.0436339102670578</v>
      </c>
      <c r="D1769" s="1100">
        <v>0.96383013423536956</v>
      </c>
      <c r="E1769" s="1100">
        <v>0.99243116237595563</v>
      </c>
      <c r="F1769" s="1100">
        <v>1.0132397077163702</v>
      </c>
      <c r="G1769" s="1100">
        <v>0.9567617870768248</v>
      </c>
      <c r="H1769" s="1100">
        <v>1.0103619653470017</v>
      </c>
      <c r="I1769" s="1100">
        <v>1.0019386702229784</v>
      </c>
      <c r="K1769">
        <v>1.1525240448775818</v>
      </c>
      <c r="L1769">
        <v>0</v>
      </c>
      <c r="M1769">
        <v>7.9919138161821716E-4</v>
      </c>
      <c r="N1769">
        <v>7.1881516242854882E-2</v>
      </c>
      <c r="O1769">
        <v>1.0061368582908169E-2</v>
      </c>
      <c r="P1769">
        <v>1.3556197059688408E-2</v>
      </c>
      <c r="Q1769">
        <v>4.3357845777004713E-4</v>
      </c>
      <c r="R1769">
        <v>7.9743952168202976E-4</v>
      </c>
      <c r="S1769">
        <v>7.1693213766297531E-2</v>
      </c>
      <c r="T1769">
        <v>0.83909942939411108</v>
      </c>
      <c r="U1769">
        <v>0</v>
      </c>
      <c r="V1769">
        <v>8.920973915658531E-2</v>
      </c>
      <c r="W1769">
        <v>4.7434812380823553E-2</v>
      </c>
      <c r="X1769">
        <v>6.9855741943264174E-3</v>
      </c>
      <c r="Y1769">
        <v>2.1703675021508117E-3</v>
      </c>
    </row>
    <row r="1770" spans="1:25" x14ac:dyDescent="0.25">
      <c r="A1770" s="1096"/>
      <c r="B1770" s="1455">
        <v>1520</v>
      </c>
      <c r="C1770" s="1100">
        <v>0.98902698398769695</v>
      </c>
      <c r="D1770" s="1100">
        <v>0.96455365258959236</v>
      </c>
      <c r="E1770" s="1100">
        <v>0.99048215427934017</v>
      </c>
      <c r="F1770" s="1100">
        <v>0.98933499147582982</v>
      </c>
      <c r="G1770" s="1100">
        <v>1.0170991177674922</v>
      </c>
      <c r="H1770" s="1100">
        <v>1.0068791518716418</v>
      </c>
      <c r="I1770" s="1100">
        <v>0.99243638647211241</v>
      </c>
      <c r="K1770">
        <v>1.1462850238865343</v>
      </c>
      <c r="L1770">
        <v>0</v>
      </c>
      <c r="M1770">
        <v>8.4355669995488623E-4</v>
      </c>
      <c r="N1770">
        <v>7.5425556429572993E-2</v>
      </c>
      <c r="O1770">
        <v>1.0613044964605424E-2</v>
      </c>
      <c r="P1770">
        <v>1.3364383015570977E-2</v>
      </c>
      <c r="Q1770">
        <v>4.5645269623369129E-4</v>
      </c>
      <c r="R1770">
        <v>8.4170119333353162E-4</v>
      </c>
      <c r="S1770">
        <v>7.4758667535955267E-2</v>
      </c>
      <c r="T1770">
        <v>0.81943128420478484</v>
      </c>
      <c r="U1770">
        <v>0</v>
      </c>
      <c r="V1770">
        <v>9.3100350538845689E-2</v>
      </c>
      <c r="W1770">
        <v>4.9831615607296258E-2</v>
      </c>
      <c r="X1770">
        <v>7.0146912187596215E-3</v>
      </c>
      <c r="Y1770">
        <v>2.2908331815300617E-3</v>
      </c>
    </row>
    <row r="1771" spans="1:25" x14ac:dyDescent="0.25">
      <c r="A1771" s="1096"/>
      <c r="B1771" s="1455">
        <v>1521</v>
      </c>
      <c r="C1771" s="1100">
        <v>1.0087502122843419</v>
      </c>
      <c r="D1771" s="1100">
        <v>1.0239164152504112</v>
      </c>
      <c r="E1771" s="1100">
        <v>0.99600507776819536</v>
      </c>
      <c r="F1771" s="1100">
        <v>1.0060567004092573</v>
      </c>
      <c r="G1771" s="1100">
        <v>0.99509177822060746</v>
      </c>
      <c r="H1771" s="1100">
        <v>1.0113462398644166</v>
      </c>
      <c r="I1771" s="1100">
        <v>0.96536217703302019</v>
      </c>
      <c r="K1771">
        <v>1.1481537907758128</v>
      </c>
      <c r="L1771">
        <v>0</v>
      </c>
      <c r="M1771">
        <v>8.0189205566855843E-4</v>
      </c>
      <c r="N1771">
        <v>7.2907900736738487E-2</v>
      </c>
      <c r="O1771">
        <v>1.0161669151654796E-2</v>
      </c>
      <c r="P1771">
        <v>1.3509770251063159E-2</v>
      </c>
      <c r="Q1771">
        <v>4.3948176861192885E-4</v>
      </c>
      <c r="R1771">
        <v>8.0013598647293036E-4</v>
      </c>
      <c r="S1771">
        <v>6.9324195031614924E-2</v>
      </c>
      <c r="T1771">
        <v>0.83291221200103116</v>
      </c>
      <c r="U1771">
        <v>0</v>
      </c>
      <c r="V1771">
        <v>9.1670263284187925E-2</v>
      </c>
      <c r="W1771">
        <v>4.8009571067028994E-2</v>
      </c>
      <c r="X1771">
        <v>7.0427771626551099E-3</v>
      </c>
      <c r="Y1771">
        <v>2.1777063904222641E-3</v>
      </c>
    </row>
    <row r="1772" spans="1:25" x14ac:dyDescent="0.25">
      <c r="A1772" s="1096"/>
      <c r="B1772" s="1455">
        <v>1522</v>
      </c>
      <c r="C1772" s="1100">
        <v>1.0133236209386522</v>
      </c>
      <c r="D1772" s="1100">
        <v>1.0254096024653312</v>
      </c>
      <c r="E1772" s="1100">
        <v>1.024486996112234</v>
      </c>
      <c r="F1772" s="1100">
        <v>0.97429634242437579</v>
      </c>
      <c r="G1772" s="1100">
        <v>1.0120291012317038</v>
      </c>
      <c r="H1772" s="1100">
        <v>0.98723072737911843</v>
      </c>
      <c r="I1772" s="1100">
        <v>1.0389146169298757</v>
      </c>
      <c r="K1772">
        <v>1.1235856487579965</v>
      </c>
      <c r="L1772">
        <v>0</v>
      </c>
      <c r="M1772">
        <v>7.340378510821171E-4</v>
      </c>
      <c r="N1772">
        <v>7.2727190248751419E-2</v>
      </c>
      <c r="O1772">
        <v>1.0119033967858921E-2</v>
      </c>
      <c r="P1772">
        <v>1.3470379314356592E-2</v>
      </c>
      <c r="Q1772">
        <v>4.5027563773685766E-4</v>
      </c>
      <c r="R1772">
        <v>7.3239110981581312E-4</v>
      </c>
      <c r="S1772">
        <v>7.3251916745086632E-2</v>
      </c>
      <c r="T1772">
        <v>0.80478992124201987</v>
      </c>
      <c r="U1772">
        <v>0</v>
      </c>
      <c r="V1772">
        <v>9.2287673686260174E-2</v>
      </c>
      <c r="W1772">
        <v>4.7093095749912092E-2</v>
      </c>
      <c r="X1772">
        <v>7.4044817390255414E-3</v>
      </c>
      <c r="Y1772">
        <v>1.9933271682541789E-3</v>
      </c>
    </row>
    <row r="1773" spans="1:25" x14ac:dyDescent="0.25">
      <c r="A1773" s="1096"/>
      <c r="B1773" s="1455">
        <v>1523</v>
      </c>
      <c r="C1773" s="1100">
        <v>0.98556497730068182</v>
      </c>
      <c r="D1773" s="1100">
        <v>1.0372327962737187</v>
      </c>
      <c r="E1773" s="1100">
        <v>1.0177000520600996</v>
      </c>
      <c r="F1773" s="1100">
        <v>0.95535733113902421</v>
      </c>
      <c r="G1773" s="1100">
        <v>1.0096275299296562</v>
      </c>
      <c r="H1773" s="1100">
        <v>0.98493689452326949</v>
      </c>
      <c r="I1773" s="1100">
        <v>1.0312169791286099</v>
      </c>
      <c r="K1773">
        <v>1.1117883626302121</v>
      </c>
      <c r="L1773">
        <v>0</v>
      </c>
      <c r="M1773">
        <v>7.601746562637525E-4</v>
      </c>
      <c r="N1773">
        <v>7.3790102145005296E-2</v>
      </c>
      <c r="O1773">
        <v>1.0354209773736521E-2</v>
      </c>
      <c r="P1773">
        <v>1.3214744737715675E-2</v>
      </c>
      <c r="Q1773">
        <v>4.5764407554715214E-4</v>
      </c>
      <c r="R1773">
        <v>7.5846530798732168E-4</v>
      </c>
      <c r="S1773">
        <v>7.4213987989921099E-2</v>
      </c>
      <c r="T1773">
        <v>0.78957072358789115</v>
      </c>
      <c r="U1773">
        <v>0</v>
      </c>
      <c r="V1773">
        <v>9.2873020876458115E-2</v>
      </c>
      <c r="W1773">
        <v>4.7971304244195642E-2</v>
      </c>
      <c r="X1773">
        <v>7.2800420076984959E-3</v>
      </c>
      <c r="Y1773">
        <v>2.0642925403199087E-3</v>
      </c>
    </row>
    <row r="1774" spans="1:25" x14ac:dyDescent="0.25">
      <c r="A1774" s="1096"/>
      <c r="B1774" s="1455">
        <v>1524</v>
      </c>
      <c r="C1774" s="1100">
        <v>0.96050259217039335</v>
      </c>
      <c r="D1774" s="1100">
        <v>1.021175925921346</v>
      </c>
      <c r="E1774" s="1100">
        <v>0.98021815858781336</v>
      </c>
      <c r="F1774" s="1100">
        <v>1.0017350089605028</v>
      </c>
      <c r="G1774" s="1100">
        <v>1.0006298088759835</v>
      </c>
      <c r="H1774" s="1100">
        <v>1.0356245159364548</v>
      </c>
      <c r="I1774" s="1100">
        <v>1.0126096277941443</v>
      </c>
      <c r="K1774">
        <v>1.1636536299297193</v>
      </c>
      <c r="L1774">
        <v>0</v>
      </c>
      <c r="M1774">
        <v>8.9199901561873936E-4</v>
      </c>
      <c r="N1774">
        <v>7.7323824140875699E-2</v>
      </c>
      <c r="O1774">
        <v>1.0678228840955175E-2</v>
      </c>
      <c r="P1774">
        <v>1.344531584769101E-2</v>
      </c>
      <c r="Q1774">
        <v>4.5450404596788087E-4</v>
      </c>
      <c r="R1774">
        <v>8.900914142287266E-4</v>
      </c>
      <c r="S1774">
        <v>7.7487537589705779E-2</v>
      </c>
      <c r="T1774">
        <v>0.83038736172855265</v>
      </c>
      <c r="U1774">
        <v>0</v>
      </c>
      <c r="V1774">
        <v>9.3138593323347355E-2</v>
      </c>
      <c r="W1774">
        <v>5.1401997424499933E-2</v>
      </c>
      <c r="X1774">
        <v>6.9156391785386269E-3</v>
      </c>
      <c r="Y1774">
        <v>2.4225354109747516E-3</v>
      </c>
    </row>
    <row r="1775" spans="1:25" x14ac:dyDescent="0.25">
      <c r="A1775" s="1096"/>
      <c r="B1775" s="1455">
        <v>1525</v>
      </c>
      <c r="C1775" s="1100">
        <v>0.96102002784248264</v>
      </c>
      <c r="D1775" s="1100">
        <v>1.034971462364991</v>
      </c>
      <c r="E1775" s="1100">
        <v>1.0286358674440415</v>
      </c>
      <c r="F1775" s="1100">
        <v>1.0271937763923804</v>
      </c>
      <c r="G1775" s="1100">
        <v>1.0216197023506843</v>
      </c>
      <c r="H1775" s="1100">
        <v>1.0147618612134488</v>
      </c>
      <c r="I1775" s="1100">
        <v>1.0167497464261837</v>
      </c>
      <c r="K1775">
        <v>1.1837117150121967</v>
      </c>
      <c r="L1775">
        <v>0</v>
      </c>
      <c r="M1775">
        <v>7.8580458632965873E-4</v>
      </c>
      <c r="N1775">
        <v>7.8841073347920135E-2</v>
      </c>
      <c r="O1775">
        <v>1.0631622520161211E-2</v>
      </c>
      <c r="P1775">
        <v>1.4183875581360176E-2</v>
      </c>
      <c r="Q1775">
        <v>4.7503299246536734E-4</v>
      </c>
      <c r="R1775">
        <v>7.8408953942991834E-4</v>
      </c>
      <c r="S1775">
        <v>7.6405910877570773E-2</v>
      </c>
      <c r="T1775">
        <v>0.84820587366915967</v>
      </c>
      <c r="U1775">
        <v>0</v>
      </c>
      <c r="V1775">
        <v>9.402987371719107E-2</v>
      </c>
      <c r="W1775">
        <v>5.0928890190267577E-2</v>
      </c>
      <c r="X1775">
        <v>7.8772439117195323E-3</v>
      </c>
      <c r="Y1775">
        <v>2.1340332512810312E-3</v>
      </c>
    </row>
    <row r="1776" spans="1:25" x14ac:dyDescent="0.25">
      <c r="A1776" s="1096"/>
      <c r="B1776" s="1455">
        <v>1526</v>
      </c>
      <c r="C1776" s="1100">
        <v>1.0089484741496497</v>
      </c>
      <c r="D1776" s="1100">
        <v>0.97337436389597587</v>
      </c>
      <c r="E1776" s="1100">
        <v>1.0234787830067289</v>
      </c>
      <c r="F1776" s="1100">
        <v>1.0374036082955858</v>
      </c>
      <c r="G1776" s="1100">
        <v>1.0259687964732636</v>
      </c>
      <c r="H1776" s="1100">
        <v>0.99581688486293274</v>
      </c>
      <c r="I1776" s="1100">
        <v>1.0236837767486295</v>
      </c>
      <c r="K1776">
        <v>1.1834904303342388</v>
      </c>
      <c r="L1776">
        <v>0</v>
      </c>
      <c r="M1776">
        <v>7.6088151487228623E-4</v>
      </c>
      <c r="N1776">
        <v>7.5159392222451119E-2</v>
      </c>
      <c r="O1776">
        <v>1.0376510627682927E-2</v>
      </c>
      <c r="P1776">
        <v>1.4215848506318992E-2</v>
      </c>
      <c r="Q1776">
        <v>4.6127125006819805E-4</v>
      </c>
      <c r="R1776">
        <v>7.5918927031719534E-4</v>
      </c>
      <c r="S1776">
        <v>7.4815546153978646E-2</v>
      </c>
      <c r="T1776">
        <v>0.85698632451309786</v>
      </c>
      <c r="U1776">
        <v>0</v>
      </c>
      <c r="V1776">
        <v>9.298936955709565E-2</v>
      </c>
      <c r="W1776">
        <v>4.8696647364068438E-2</v>
      </c>
      <c r="X1776">
        <v>7.7249494569026998E-3</v>
      </c>
      <c r="Y1776">
        <v>2.0662629271277072E-3</v>
      </c>
    </row>
    <row r="1777" spans="1:25" x14ac:dyDescent="0.25">
      <c r="A1777" s="1096"/>
      <c r="B1777" s="1455">
        <v>1527</v>
      </c>
      <c r="C1777" s="1100">
        <v>0.97730584876634019</v>
      </c>
      <c r="D1777" s="1100">
        <v>0.99101348166450354</v>
      </c>
      <c r="E1777" s="1100">
        <v>0.98593278153541841</v>
      </c>
      <c r="F1777" s="1100">
        <v>1.0014600620594407</v>
      </c>
      <c r="G1777" s="1100">
        <v>1.0081902983859055</v>
      </c>
      <c r="H1777" s="1100">
        <v>1.0217418979207422</v>
      </c>
      <c r="I1777" s="1100">
        <v>1.0182670672207612</v>
      </c>
      <c r="K1777">
        <v>1.1607275109769404</v>
      </c>
      <c r="L1777">
        <v>0</v>
      </c>
      <c r="M1777">
        <v>8.6505813831387634E-4</v>
      </c>
      <c r="N1777">
        <v>7.6293769391589314E-2</v>
      </c>
      <c r="O1777">
        <v>1.0623166478524966E-2</v>
      </c>
      <c r="P1777">
        <v>1.3489711542483089E-2</v>
      </c>
      <c r="Q1777">
        <v>4.5478981860890482E-4</v>
      </c>
      <c r="R1777">
        <v>8.6318301569941757E-4</v>
      </c>
      <c r="S1777">
        <v>7.7179659896483732E-2</v>
      </c>
      <c r="T1777">
        <v>0.829777421890038</v>
      </c>
      <c r="U1777">
        <v>0</v>
      </c>
      <c r="V1777">
        <v>9.3019240688405794E-2</v>
      </c>
      <c r="W1777">
        <v>5.0542975196368516E-2</v>
      </c>
      <c r="X1777">
        <v>6.9993515765234991E-3</v>
      </c>
      <c r="Y1777">
        <v>2.3492996205291623E-3</v>
      </c>
    </row>
    <row r="1778" spans="1:25" x14ac:dyDescent="0.25">
      <c r="A1778" s="1096"/>
      <c r="B1778" s="1455">
        <v>1528</v>
      </c>
      <c r="C1778" s="1100">
        <v>1.0079546388021412</v>
      </c>
      <c r="D1778" s="1100">
        <v>0.98712082153314384</v>
      </c>
      <c r="E1778" s="1100">
        <v>0.95310980745695084</v>
      </c>
      <c r="F1778" s="1100">
        <v>0.97855763572124399</v>
      </c>
      <c r="G1778" s="1100">
        <v>1.0079691794739334</v>
      </c>
      <c r="H1778" s="1100">
        <v>1.0068215375824532</v>
      </c>
      <c r="I1778" s="1100">
        <v>1.0061211216016341</v>
      </c>
      <c r="K1778">
        <v>1.1294436131657279</v>
      </c>
      <c r="L1778">
        <v>0</v>
      </c>
      <c r="M1778">
        <v>8.8584110111199145E-4</v>
      </c>
      <c r="N1778">
        <v>7.0732993762489121E-2</v>
      </c>
      <c r="O1778">
        <v>1.0305716612578812E-2</v>
      </c>
      <c r="P1778">
        <v>1.2873250631479044E-2</v>
      </c>
      <c r="Q1778">
        <v>4.2663965157687381E-4</v>
      </c>
      <c r="R1778">
        <v>8.8389247325243502E-4</v>
      </c>
      <c r="S1778">
        <v>7.344184913644157E-2</v>
      </c>
      <c r="T1778">
        <v>0.81295931738380345</v>
      </c>
      <c r="U1778">
        <v>0</v>
      </c>
      <c r="V1778">
        <v>9.2235066792486109E-2</v>
      </c>
      <c r="W1778">
        <v>4.780500226926504E-2</v>
      </c>
      <c r="X1778">
        <v>6.2600616163507022E-3</v>
      </c>
      <c r="Y1778">
        <v>2.4056639371176293E-3</v>
      </c>
    </row>
    <row r="1779" spans="1:25" x14ac:dyDescent="0.25">
      <c r="A1779" s="1096"/>
      <c r="B1779" s="1455">
        <v>1529</v>
      </c>
      <c r="C1779" s="1100">
        <v>0.98808453747855141</v>
      </c>
      <c r="D1779" s="1100">
        <v>1.0235237690174006</v>
      </c>
      <c r="E1779" s="1100">
        <v>0.97656708344739163</v>
      </c>
      <c r="F1779" s="1100">
        <v>0.98890661083591624</v>
      </c>
      <c r="G1779" s="1100">
        <v>0.98528914252752087</v>
      </c>
      <c r="H1779" s="1100">
        <v>1.0213202967930359</v>
      </c>
      <c r="I1779" s="1100">
        <v>1.0182036703658666</v>
      </c>
      <c r="K1779">
        <v>1.1428540779358467</v>
      </c>
      <c r="L1779">
        <v>0</v>
      </c>
      <c r="M1779">
        <v>8.608102534715976E-4</v>
      </c>
      <c r="N1779">
        <v>7.3798097215740419E-2</v>
      </c>
      <c r="O1779">
        <v>1.0369425836069876E-2</v>
      </c>
      <c r="P1779">
        <v>1.3217716944531714E-2</v>
      </c>
      <c r="Q1779">
        <v>4.3972398368976814E-4</v>
      </c>
      <c r="R1779">
        <v>8.5894356843344585E-4</v>
      </c>
      <c r="S1779">
        <v>7.5053527637691006E-2</v>
      </c>
      <c r="T1779">
        <v>0.81999483415673147</v>
      </c>
      <c r="U1779">
        <v>0</v>
      </c>
      <c r="V1779">
        <v>9.1761974423523546E-2</v>
      </c>
      <c r="W1779">
        <v>4.9166637069441396E-2</v>
      </c>
      <c r="X1779">
        <v>6.7162461108594808E-3</v>
      </c>
      <c r="Y1779">
        <v>2.3377612426046051E-3</v>
      </c>
    </row>
    <row r="1780" spans="1:25" x14ac:dyDescent="0.25">
      <c r="A1780" s="1096"/>
      <c r="B1780" s="1455">
        <v>1530</v>
      </c>
      <c r="C1780" s="1100">
        <v>0.97964847730361726</v>
      </c>
      <c r="D1780" s="1100">
        <v>0.98978325096185193</v>
      </c>
      <c r="E1780" s="1100">
        <v>0.9686837914964852</v>
      </c>
      <c r="F1780" s="1100">
        <v>1.0222982605812359</v>
      </c>
      <c r="G1780" s="1100">
        <v>1.0251991601560881</v>
      </c>
      <c r="H1780" s="1100">
        <v>0.96356433885826653</v>
      </c>
      <c r="I1780" s="1100">
        <v>0.99861906463768524</v>
      </c>
      <c r="K1780">
        <v>1.1665193321595895</v>
      </c>
      <c r="L1780">
        <v>0</v>
      </c>
      <c r="M1780">
        <v>8.4380907358069216E-4</v>
      </c>
      <c r="N1780">
        <v>7.062539058459022E-2</v>
      </c>
      <c r="O1780">
        <v>1.0597264899441896E-2</v>
      </c>
      <c r="P1780">
        <v>1.3513713386156942E-2</v>
      </c>
      <c r="Q1780">
        <v>4.4578463637063128E-4</v>
      </c>
      <c r="R1780">
        <v>8.4186957685645678E-4</v>
      </c>
      <c r="S1780">
        <v>7.3115141153064514E-2</v>
      </c>
      <c r="T1780">
        <v>0.84822365665394672</v>
      </c>
      <c r="U1780">
        <v>0</v>
      </c>
      <c r="V1780">
        <v>9.3683836715685448E-2</v>
      </c>
      <c r="W1780">
        <v>4.7278710952600347E-2</v>
      </c>
      <c r="X1780">
        <v>6.7464812084859884E-3</v>
      </c>
      <c r="Y1780">
        <v>2.2912914659718501E-3</v>
      </c>
    </row>
    <row r="1781" spans="1:25" x14ac:dyDescent="0.25">
      <c r="A1781" s="1096"/>
      <c r="B1781" s="1455">
        <v>1531</v>
      </c>
      <c r="C1781" s="1100">
        <v>0.98546501624735161</v>
      </c>
      <c r="D1781" s="1100">
        <v>1.0001376066683416</v>
      </c>
      <c r="E1781" s="1100">
        <v>0.98309656036708071</v>
      </c>
      <c r="F1781" s="1100">
        <v>1.0118721930248664</v>
      </c>
      <c r="G1781" s="1100">
        <v>1.0178303164145388</v>
      </c>
      <c r="H1781" s="1100">
        <v>0.97123881453801708</v>
      </c>
      <c r="I1781" s="1100">
        <v>1.0011968902418416</v>
      </c>
      <c r="K1781">
        <v>1.1571210603984372</v>
      </c>
      <c r="L1781">
        <v>0</v>
      </c>
      <c r="M1781">
        <v>8.1728996843822611E-4</v>
      </c>
      <c r="N1781">
        <v>7.1457077322635079E-2</v>
      </c>
      <c r="O1781">
        <v>1.0495721982139345E-2</v>
      </c>
      <c r="P1781">
        <v>1.3523358453561646E-2</v>
      </c>
      <c r="Q1781">
        <v>4.4804357100344762E-4</v>
      </c>
      <c r="R1781">
        <v>8.1542626967920416E-4</v>
      </c>
      <c r="S1781">
        <v>7.2814974902134955E-2</v>
      </c>
      <c r="T1781">
        <v>0.83859601610362089</v>
      </c>
      <c r="U1781">
        <v>0</v>
      </c>
      <c r="V1781">
        <v>9.3221191699428177E-2</v>
      </c>
      <c r="W1781">
        <v>4.7419621906025049E-2</v>
      </c>
      <c r="X1781">
        <v>6.9275966557776937E-3</v>
      </c>
      <c r="Y1781">
        <v>2.2193215008692369E-3</v>
      </c>
    </row>
    <row r="1782" spans="1:25" x14ac:dyDescent="0.25">
      <c r="A1782" s="1096"/>
      <c r="B1782" s="1455">
        <v>1532</v>
      </c>
      <c r="C1782" s="1100">
        <v>1.0185655362663903</v>
      </c>
      <c r="D1782" s="1100">
        <v>1.0167024983981157</v>
      </c>
      <c r="E1782" s="1100">
        <v>0.99848784052465012</v>
      </c>
      <c r="F1782" s="1100">
        <v>1.0211084087165105</v>
      </c>
      <c r="G1782" s="1100">
        <v>1.0242011055645164</v>
      </c>
      <c r="H1782" s="1100">
        <v>1.0312801345851055</v>
      </c>
      <c r="I1782" s="1100">
        <v>0.9907896142436472</v>
      </c>
      <c r="K1782">
        <v>1.1656924609988908</v>
      </c>
      <c r="L1782">
        <v>0</v>
      </c>
      <c r="M1782">
        <v>8.0794154931873943E-4</v>
      </c>
      <c r="N1782">
        <v>7.4014248479259706E-2</v>
      </c>
      <c r="O1782">
        <v>1.0093041216596588E-2</v>
      </c>
      <c r="P1782">
        <v>1.3745770626432964E-2</v>
      </c>
      <c r="Q1782">
        <v>4.3760608055630376E-4</v>
      </c>
      <c r="R1782">
        <v>8.0620643190422133E-4</v>
      </c>
      <c r="S1782">
        <v>7.1506602707201064E-2</v>
      </c>
      <c r="T1782">
        <v>0.84520542306088986</v>
      </c>
      <c r="U1782">
        <v>0</v>
      </c>
      <c r="V1782">
        <v>9.2678433701456356E-2</v>
      </c>
      <c r="W1782">
        <v>4.8666074656466947E-2</v>
      </c>
      <c r="X1782">
        <v>7.152767445682562E-3</v>
      </c>
      <c r="Y1782">
        <v>2.1942281417644395E-3</v>
      </c>
    </row>
    <row r="1783" spans="1:25" x14ac:dyDescent="0.25">
      <c r="A1783" s="1096"/>
      <c r="B1783" s="1455">
        <v>1533</v>
      </c>
      <c r="C1783" s="1100">
        <v>1.0206106887512403</v>
      </c>
      <c r="D1783" s="1100">
        <v>1.0005584185899907</v>
      </c>
      <c r="E1783" s="1100">
        <v>0.96996251619526297</v>
      </c>
      <c r="F1783" s="1100">
        <v>1.0126687496471087</v>
      </c>
      <c r="G1783" s="1100">
        <v>1.0065154743477533</v>
      </c>
      <c r="H1783" s="1100">
        <v>1.0153628499568161</v>
      </c>
      <c r="I1783" s="1100">
        <v>1.0035840127036093</v>
      </c>
      <c r="K1783">
        <v>1.1559598772550559</v>
      </c>
      <c r="L1783">
        <v>0</v>
      </c>
      <c r="M1783">
        <v>8.4755442995920337E-4</v>
      </c>
      <c r="N1783">
        <v>7.1222449907529184E-2</v>
      </c>
      <c r="O1783">
        <v>1.0128391920185626E-2</v>
      </c>
      <c r="P1783">
        <v>1.338308841925853E-2</v>
      </c>
      <c r="Q1783">
        <v>4.266184387090498E-4</v>
      </c>
      <c r="R1783">
        <v>8.4570570669392439E-4</v>
      </c>
      <c r="S1783">
        <v>7.2208941489862719E-2</v>
      </c>
      <c r="T1783">
        <v>0.84014682154243081</v>
      </c>
      <c r="U1783">
        <v>0</v>
      </c>
      <c r="V1783">
        <v>9.1869994537371144E-2</v>
      </c>
      <c r="W1783">
        <v>4.7641287620630947E-2</v>
      </c>
      <c r="X1783">
        <v>6.6323999555318904E-3</v>
      </c>
      <c r="Y1783">
        <v>2.3017321468095761E-3</v>
      </c>
    </row>
    <row r="1784" spans="1:25" x14ac:dyDescent="0.25">
      <c r="A1784" s="1096"/>
      <c r="B1784" s="1455">
        <v>1534</v>
      </c>
      <c r="C1784" s="1100">
        <v>1.0111378686933232</v>
      </c>
      <c r="D1784" s="1100">
        <v>1.0230269365456031</v>
      </c>
      <c r="E1784" s="1100">
        <v>1.0262347182829501</v>
      </c>
      <c r="F1784" s="1100">
        <v>0.97953383353662704</v>
      </c>
      <c r="G1784" s="1100">
        <v>1.0012105160528881</v>
      </c>
      <c r="H1784" s="1100">
        <v>1.0205916270897264</v>
      </c>
      <c r="I1784" s="1100">
        <v>1.0159791692309899</v>
      </c>
      <c r="K1784">
        <v>1.1322187431967601</v>
      </c>
      <c r="L1784">
        <v>0</v>
      </c>
      <c r="M1784">
        <v>7.584259032350413E-4</v>
      </c>
      <c r="N1784">
        <v>7.554615186773142E-2</v>
      </c>
      <c r="O1784">
        <v>1.015091161580914E-2</v>
      </c>
      <c r="P1784">
        <v>1.3540145416274978E-2</v>
      </c>
      <c r="Q1784">
        <v>4.5247730616988297E-4</v>
      </c>
      <c r="R1784">
        <v>7.5678006656545267E-4</v>
      </c>
      <c r="S1784">
        <v>7.3229423887732237E-2</v>
      </c>
      <c r="T1784">
        <v>0.80900427017154597</v>
      </c>
      <c r="U1784">
        <v>0</v>
      </c>
      <c r="V1784">
        <v>9.1878489175644285E-2</v>
      </c>
      <c r="W1784">
        <v>4.8868676224259132E-2</v>
      </c>
      <c r="X1784">
        <v>7.4901374995536094E-3</v>
      </c>
      <c r="Y1784">
        <v>2.0597058687092658E-3</v>
      </c>
    </row>
    <row r="1785" spans="1:25" x14ac:dyDescent="0.25">
      <c r="A1785" s="1096"/>
      <c r="B1785" s="1455">
        <v>1535</v>
      </c>
      <c r="C1785" s="1100">
        <v>0.99144432775343294</v>
      </c>
      <c r="D1785" s="1100">
        <v>0.96575819128670248</v>
      </c>
      <c r="E1785" s="1100">
        <v>1.0093599287100159</v>
      </c>
      <c r="F1785" s="1100">
        <v>0.96327785300689861</v>
      </c>
      <c r="G1785" s="1100">
        <v>1.0106822420208064</v>
      </c>
      <c r="H1785" s="1100">
        <v>0.96737634910050119</v>
      </c>
      <c r="I1785" s="1100">
        <v>1.0368211806655687</v>
      </c>
      <c r="K1785">
        <v>1.120833987101874</v>
      </c>
      <c r="L1785">
        <v>0</v>
      </c>
      <c r="M1785">
        <v>7.7705083192493123E-4</v>
      </c>
      <c r="N1785">
        <v>7.3550257687828982E-2</v>
      </c>
      <c r="O1785">
        <v>1.0588203657205338E-2</v>
      </c>
      <c r="P1785">
        <v>1.3256359515689355E-2</v>
      </c>
      <c r="Q1785">
        <v>4.6410842219995606E-4</v>
      </c>
      <c r="R1785">
        <v>7.7527181720190837E-4</v>
      </c>
      <c r="S1785">
        <v>7.6180918483863533E-2</v>
      </c>
      <c r="T1785">
        <v>0.79664512623918826</v>
      </c>
      <c r="U1785">
        <v>0</v>
      </c>
      <c r="V1785">
        <v>9.2767634468985116E-2</v>
      </c>
      <c r="W1785">
        <v>4.8050458504067167E-2</v>
      </c>
      <c r="X1785">
        <v>7.2226648194299832E-3</v>
      </c>
      <c r="Y1785">
        <v>2.1100343181377395E-3</v>
      </c>
    </row>
    <row r="1786" spans="1:25" x14ac:dyDescent="0.25">
      <c r="A1786" s="1096"/>
      <c r="B1786" s="1455">
        <v>1536</v>
      </c>
      <c r="C1786" s="1100">
        <v>0.97376958710608386</v>
      </c>
      <c r="D1786" s="1100">
        <v>0.98871759920968449</v>
      </c>
      <c r="E1786" s="1100">
        <v>1.0260125794758006</v>
      </c>
      <c r="F1786" s="1100">
        <v>1.0270648710997932</v>
      </c>
      <c r="G1786" s="1100">
        <v>0.99025883322844288</v>
      </c>
      <c r="H1786" s="1100">
        <v>0.99003391053809409</v>
      </c>
      <c r="I1786" s="1100">
        <v>1.0062734067402779</v>
      </c>
      <c r="K1786">
        <v>1.1781809638081486</v>
      </c>
      <c r="L1786">
        <v>0</v>
      </c>
      <c r="M1786">
        <v>7.7480467295236509E-4</v>
      </c>
      <c r="N1786">
        <v>7.7120770256049215E-2</v>
      </c>
      <c r="O1786">
        <v>1.0685185760984192E-2</v>
      </c>
      <c r="P1786">
        <v>1.4119693130894071E-2</v>
      </c>
      <c r="Q1786">
        <v>4.7618778003378907E-4</v>
      </c>
      <c r="R1786">
        <v>7.7307139689084166E-4</v>
      </c>
      <c r="S1786">
        <v>7.5348486947843282E-2</v>
      </c>
      <c r="T1786">
        <v>0.84827541872818735</v>
      </c>
      <c r="U1786">
        <v>0</v>
      </c>
      <c r="V1786">
        <v>9.2351373900595279E-2</v>
      </c>
      <c r="W1786">
        <v>4.9893705266901851E-2</v>
      </c>
      <c r="X1786">
        <v>7.8078298133009635E-3</v>
      </c>
      <c r="Y1786">
        <v>2.1040454994193762E-3</v>
      </c>
    </row>
    <row r="1787" spans="1:25" x14ac:dyDescent="0.25">
      <c r="A1787" s="1096"/>
      <c r="B1787" s="1455">
        <v>1537</v>
      </c>
      <c r="C1787" s="1100">
        <v>1.026205388033139</v>
      </c>
      <c r="D1787" s="1100">
        <v>0.97467510218942865</v>
      </c>
      <c r="E1787" s="1100">
        <v>0.96744801904673694</v>
      </c>
      <c r="F1787" s="1100">
        <v>0.97824998848514011</v>
      </c>
      <c r="G1787" s="1100">
        <v>1.0062467929915389</v>
      </c>
      <c r="H1787" s="1100">
        <v>0.9733479635446568</v>
      </c>
      <c r="I1787" s="1100">
        <v>0.9881288388829661</v>
      </c>
      <c r="K1787">
        <v>1.1200198502589482</v>
      </c>
      <c r="L1787">
        <v>0</v>
      </c>
      <c r="M1787">
        <v>8.2081879583054314E-4</v>
      </c>
      <c r="N1787">
        <v>6.8446107536142914E-2</v>
      </c>
      <c r="O1787">
        <v>1.0178527570673872E-2</v>
      </c>
      <c r="P1787">
        <v>1.294839679830851E-2</v>
      </c>
      <c r="Q1787">
        <v>4.2762898446017245E-4</v>
      </c>
      <c r="R1787">
        <v>8.1895110603456606E-4</v>
      </c>
      <c r="S1787">
        <v>7.0001012675184521E-2</v>
      </c>
      <c r="T1787">
        <v>0.81175710666864709</v>
      </c>
      <c r="U1787">
        <v>0</v>
      </c>
      <c r="V1787">
        <v>9.1725906071060889E-2</v>
      </c>
      <c r="W1787">
        <v>4.5854363432113215E-2</v>
      </c>
      <c r="X1787">
        <v>6.4537532686845438E-3</v>
      </c>
      <c r="Y1787">
        <v>2.2289149434665399E-3</v>
      </c>
    </row>
    <row r="1788" spans="1:25" x14ac:dyDescent="0.25">
      <c r="A1788" s="1096"/>
      <c r="B1788" s="1455">
        <v>1538</v>
      </c>
      <c r="C1788" s="1100">
        <v>1.0019841121463582</v>
      </c>
      <c r="D1788" s="1100">
        <v>0.96775600156520214</v>
      </c>
      <c r="E1788" s="1100">
        <v>0.98951913769048527</v>
      </c>
      <c r="F1788" s="1100">
        <v>1.0154589348953473</v>
      </c>
      <c r="G1788" s="1100">
        <v>1.014509375209564</v>
      </c>
      <c r="H1788" s="1100">
        <v>0.98551363055870345</v>
      </c>
      <c r="I1788" s="1100">
        <v>1.0035401265812127</v>
      </c>
      <c r="K1788">
        <v>1.1619721031115711</v>
      </c>
      <c r="L1788">
        <v>0</v>
      </c>
      <c r="M1788">
        <v>8.1552497604974199E-4</v>
      </c>
      <c r="N1788">
        <v>7.2703656484468068E-2</v>
      </c>
      <c r="O1788">
        <v>1.0461604714201938E-2</v>
      </c>
      <c r="P1788">
        <v>1.3626720753854552E-2</v>
      </c>
      <c r="Q1788">
        <v>4.4950170547194263E-4</v>
      </c>
      <c r="R1788">
        <v>8.1369223879207084E-4</v>
      </c>
      <c r="S1788">
        <v>7.3607497054141657E-2</v>
      </c>
      <c r="T1788">
        <v>0.84113388375684595</v>
      </c>
      <c r="U1788">
        <v>0</v>
      </c>
      <c r="V1788">
        <v>9.2665503189250292E-2</v>
      </c>
      <c r="W1788">
        <v>4.8061048950035705E-2</v>
      </c>
      <c r="X1788">
        <v>7.0499172001409925E-3</v>
      </c>
      <c r="Y1788">
        <v>2.214602040417589E-3</v>
      </c>
    </row>
    <row r="1789" spans="1:25" x14ac:dyDescent="0.25">
      <c r="A1789" s="1096"/>
      <c r="B1789" s="1455">
        <v>1539</v>
      </c>
      <c r="C1789" s="1100">
        <v>1.0336971877847301</v>
      </c>
      <c r="D1789" s="1100">
        <v>1.0236656670203386</v>
      </c>
      <c r="E1789" s="1100">
        <v>0.99248307342849384</v>
      </c>
      <c r="F1789" s="1100">
        <v>0.98376699585854022</v>
      </c>
      <c r="G1789" s="1100">
        <v>1.0224517782456088</v>
      </c>
      <c r="H1789" s="1100">
        <v>0.9828093405985634</v>
      </c>
      <c r="I1789" s="1100">
        <v>1.0136434542546178</v>
      </c>
      <c r="K1789">
        <v>1.1237324835707636</v>
      </c>
      <c r="L1789">
        <v>0</v>
      </c>
      <c r="M1789">
        <v>7.661047604024078E-4</v>
      </c>
      <c r="N1789">
        <v>6.8912181851444307E-2</v>
      </c>
      <c r="O1789">
        <v>9.91629786616385E-3</v>
      </c>
      <c r="P1789">
        <v>1.3242881269433035E-2</v>
      </c>
      <c r="Q1789">
        <v>4.2734926096206949E-4</v>
      </c>
      <c r="R1789">
        <v>7.6437834833311519E-4</v>
      </c>
      <c r="S1789">
        <v>6.9911778997529636E-2</v>
      </c>
      <c r="T1789">
        <v>0.8146886469452721</v>
      </c>
      <c r="U1789">
        <v>0</v>
      </c>
      <c r="V1789">
        <v>9.224677290256357E-2</v>
      </c>
      <c r="W1789">
        <v>4.5473928942737302E-2</v>
      </c>
      <c r="X1789">
        <v>6.8339860598177942E-3</v>
      </c>
      <c r="Y1789">
        <v>2.0803858869079318E-3</v>
      </c>
    </row>
    <row r="1790" spans="1:25" x14ac:dyDescent="0.25">
      <c r="A1790" s="1096"/>
      <c r="B1790" s="1455">
        <v>1540</v>
      </c>
      <c r="C1790" s="1100">
        <v>0.95780881313217459</v>
      </c>
      <c r="D1790" s="1100">
        <v>1.0048625415527226</v>
      </c>
      <c r="E1790" s="1100">
        <v>1.005651569926062</v>
      </c>
      <c r="F1790" s="1100">
        <v>1.0023047396205518</v>
      </c>
      <c r="G1790" s="1100">
        <v>0.9817064605181034</v>
      </c>
      <c r="H1790" s="1100">
        <v>0.9865491303688404</v>
      </c>
      <c r="I1790" s="1100">
        <v>0.98526738559390803</v>
      </c>
      <c r="K1790">
        <v>1.1562609896405605</v>
      </c>
      <c r="L1790">
        <v>0</v>
      </c>
      <c r="M1790">
        <v>8.1360098802910031E-4</v>
      </c>
      <c r="N1790">
        <v>7.6155725055522636E-2</v>
      </c>
      <c r="O1790">
        <v>1.07861264230232E-2</v>
      </c>
      <c r="P1790">
        <v>1.3633187872003003E-2</v>
      </c>
      <c r="Q1790">
        <v>4.710321088924695E-4</v>
      </c>
      <c r="R1790">
        <v>8.1177449370436919E-4</v>
      </c>
      <c r="S1790">
        <v>7.4213004319382908E-2</v>
      </c>
      <c r="T1790">
        <v>0.82916611554773145</v>
      </c>
      <c r="U1790">
        <v>0</v>
      </c>
      <c r="V1790">
        <v>9.2406262767585901E-2</v>
      </c>
      <c r="W1790">
        <v>4.9861742186477195E-2</v>
      </c>
      <c r="X1790">
        <v>7.360237283792443E-3</v>
      </c>
      <c r="Y1790">
        <v>2.2093825704733636E-3</v>
      </c>
    </row>
    <row r="1791" spans="1:25" x14ac:dyDescent="0.25">
      <c r="A1791" s="1096"/>
      <c r="B1791" s="1455">
        <v>1541</v>
      </c>
      <c r="C1791" s="1100">
        <v>0.99002827179780406</v>
      </c>
      <c r="D1791" s="1100">
        <v>1.0229579803094344</v>
      </c>
      <c r="E1791" s="1100">
        <v>1.0349019419462155</v>
      </c>
      <c r="F1791" s="1100">
        <v>1.003739267097131</v>
      </c>
      <c r="G1791" s="1100">
        <v>1.0170807564000512</v>
      </c>
      <c r="H1791" s="1100">
        <v>1.0051722037262858</v>
      </c>
      <c r="I1791" s="1100">
        <v>0.97320809885524429</v>
      </c>
      <c r="K1791">
        <v>1.1530028032949813</v>
      </c>
      <c r="L1791">
        <v>0</v>
      </c>
      <c r="M1791">
        <v>7.4925878632932147E-4</v>
      </c>
      <c r="N1791">
        <v>7.6606092339140189E-2</v>
      </c>
      <c r="O1791">
        <v>1.0370483613074386E-2</v>
      </c>
      <c r="P1791">
        <v>1.3883593142015342E-2</v>
      </c>
      <c r="Q1791">
        <v>4.6624177363584879E-4</v>
      </c>
      <c r="R1791">
        <v>7.4760790083361784E-4</v>
      </c>
      <c r="S1791">
        <v>7.1043359794035948E-2</v>
      </c>
      <c r="T1791">
        <v>0.82842837951688097</v>
      </c>
      <c r="U1791">
        <v>0</v>
      </c>
      <c r="V1791">
        <v>9.3081000979273368E-2</v>
      </c>
      <c r="W1791">
        <v>4.9305744578364605E-2</v>
      </c>
      <c r="X1791">
        <v>7.7848161868645698E-3</v>
      </c>
      <c r="Y1791">
        <v>2.0347422571908324E-3</v>
      </c>
    </row>
    <row r="1792" spans="1:25" x14ac:dyDescent="0.25">
      <c r="A1792" s="1096"/>
      <c r="B1792" s="1455">
        <v>1542</v>
      </c>
      <c r="C1792" s="1100">
        <v>0.98057884435709264</v>
      </c>
      <c r="D1792" s="1100">
        <v>1.0084969660906977</v>
      </c>
      <c r="E1792" s="1100">
        <v>0.98657936236079236</v>
      </c>
      <c r="F1792" s="1100">
        <v>1.0277765085594308</v>
      </c>
      <c r="G1792" s="1100">
        <v>0.97438821171232071</v>
      </c>
      <c r="H1792" s="1100">
        <v>1.0324993490364389</v>
      </c>
      <c r="I1792" s="1100">
        <v>1.0249611780124419</v>
      </c>
      <c r="K1792">
        <v>1.1813010527847587</v>
      </c>
      <c r="L1792">
        <v>0</v>
      </c>
      <c r="M1792">
        <v>8.6401766158189465E-4</v>
      </c>
      <c r="N1792">
        <v>7.6352886427041106E-2</v>
      </c>
      <c r="O1792">
        <v>1.0514117296167996E-2</v>
      </c>
      <c r="P1792">
        <v>1.3769481011091361E-2</v>
      </c>
      <c r="Q1792">
        <v>4.5041618098739427E-4</v>
      </c>
      <c r="R1792">
        <v>8.6216430744634758E-4</v>
      </c>
      <c r="S1792">
        <v>7.7194181325128244E-2</v>
      </c>
      <c r="T1792">
        <v>0.85153808700314204</v>
      </c>
      <c r="U1792">
        <v>0</v>
      </c>
      <c r="V1792">
        <v>9.1489265044309376E-2</v>
      </c>
      <c r="W1792">
        <v>5.0562492088472924E-2</v>
      </c>
      <c r="X1792">
        <v>7.0854527300721164E-3</v>
      </c>
      <c r="Y1792">
        <v>2.3465270324813914E-3</v>
      </c>
    </row>
    <row r="1793" spans="1:25" x14ac:dyDescent="0.25">
      <c r="A1793" s="1096"/>
      <c r="B1793" s="1455">
        <v>1543</v>
      </c>
      <c r="C1793" s="1100">
        <v>1.0478677869108937</v>
      </c>
      <c r="D1793" s="1100">
        <v>1.0075782142105936</v>
      </c>
      <c r="E1793" s="1100">
        <v>1.0268560355199414</v>
      </c>
      <c r="F1793" s="1100">
        <v>1.0155267996973634</v>
      </c>
      <c r="G1793" s="1100">
        <v>0.99253476734494639</v>
      </c>
      <c r="H1793" s="1100">
        <v>1.0131578376966899</v>
      </c>
      <c r="I1793" s="1100">
        <v>1.0033956163782478</v>
      </c>
      <c r="K1793">
        <v>1.1530487638443161</v>
      </c>
      <c r="L1793">
        <v>0</v>
      </c>
      <c r="M1793">
        <v>7.3000104910246177E-4</v>
      </c>
      <c r="N1793">
        <v>7.2849971515585449E-2</v>
      </c>
      <c r="O1793">
        <v>9.8550949586766624E-3</v>
      </c>
      <c r="P1793">
        <v>1.3897576107274743E-2</v>
      </c>
      <c r="Q1793">
        <v>4.3956171559289889E-4</v>
      </c>
      <c r="R1793">
        <v>7.2840527301216312E-4</v>
      </c>
      <c r="S1793">
        <v>7.0044671291690799E-2</v>
      </c>
      <c r="T1793">
        <v>0.83868989829904539</v>
      </c>
      <c r="U1793">
        <v>0</v>
      </c>
      <c r="V1793">
        <v>9.0648328560345159E-2</v>
      </c>
      <c r="W1793">
        <v>4.7107554149303864E-2</v>
      </c>
      <c r="X1793">
        <v>7.5352239884862457E-3</v>
      </c>
      <c r="Y1793">
        <v>1.9824790344053931E-3</v>
      </c>
    </row>
    <row r="1794" spans="1:25" x14ac:dyDescent="0.25">
      <c r="A1794" s="1096"/>
      <c r="B1794" s="1455">
        <v>1544</v>
      </c>
      <c r="C1794" s="1100">
        <v>0.97516088734930129</v>
      </c>
      <c r="D1794" s="1100">
        <v>0.99483907919592907</v>
      </c>
      <c r="E1794" s="1100">
        <v>1.0213481131328952</v>
      </c>
      <c r="F1794" s="1100">
        <v>0.99556492953842946</v>
      </c>
      <c r="G1794" s="1100">
        <v>0.97164401717634907</v>
      </c>
      <c r="H1794" s="1100">
        <v>1.0143583129429485</v>
      </c>
      <c r="I1794" s="1100">
        <v>1.010404783368801</v>
      </c>
      <c r="K1794">
        <v>1.15423015198199</v>
      </c>
      <c r="L1794">
        <v>0</v>
      </c>
      <c r="M1794">
        <v>7.9846980480754114E-4</v>
      </c>
      <c r="N1794">
        <v>7.837027432772814E-2</v>
      </c>
      <c r="O1794">
        <v>1.0642055824749178E-2</v>
      </c>
      <c r="P1794">
        <v>1.3717649192122958E-2</v>
      </c>
      <c r="Q1794">
        <v>4.7207596095487711E-4</v>
      </c>
      <c r="R1794">
        <v>7.9672642230636706E-4</v>
      </c>
      <c r="S1794">
        <v>7.6332666121099443E-2</v>
      </c>
      <c r="T1794">
        <v>0.82256280220489653</v>
      </c>
      <c r="U1794">
        <v>0</v>
      </c>
      <c r="V1794">
        <v>9.1518597384845385E-2</v>
      </c>
      <c r="W1794">
        <v>5.0840231048801254E-2</v>
      </c>
      <c r="X1794">
        <v>7.6071166185705521E-3</v>
      </c>
      <c r="Y1794">
        <v>2.1684266807234036E-3</v>
      </c>
    </row>
    <row r="1795" spans="1:25" x14ac:dyDescent="0.25">
      <c r="A1795" s="1096"/>
      <c r="B1795" s="1455">
        <v>1545</v>
      </c>
      <c r="C1795" s="1100">
        <v>0.98397635810894435</v>
      </c>
      <c r="D1795" s="1100">
        <v>0.97134155564627034</v>
      </c>
      <c r="E1795" s="1100">
        <v>0.98924265048573645</v>
      </c>
      <c r="F1795" s="1100">
        <v>0.99228685941597938</v>
      </c>
      <c r="G1795" s="1100">
        <v>1.0071531681821251</v>
      </c>
      <c r="H1795" s="1100">
        <v>1.0180908784319624</v>
      </c>
      <c r="I1795" s="1100">
        <v>0.9860460158384976</v>
      </c>
      <c r="K1795">
        <v>1.1502648000635203</v>
      </c>
      <c r="L1795">
        <v>0</v>
      </c>
      <c r="M1795">
        <v>8.571238372374932E-4</v>
      </c>
      <c r="N1795">
        <v>7.6353825083430193E-2</v>
      </c>
      <c r="O1795">
        <v>1.063722259065557E-2</v>
      </c>
      <c r="P1795">
        <v>1.3383300934997842E-2</v>
      </c>
      <c r="Q1795">
        <v>4.5691968989677433E-4</v>
      </c>
      <c r="R1795">
        <v>8.5525925044005111E-4</v>
      </c>
      <c r="S1795">
        <v>7.4850914170140656E-2</v>
      </c>
      <c r="T1795">
        <v>0.82195804412702433</v>
      </c>
      <c r="U1795">
        <v>0</v>
      </c>
      <c r="V1795">
        <v>9.2803489101484296E-2</v>
      </c>
      <c r="W1795">
        <v>5.0482372737810192E-2</v>
      </c>
      <c r="X1795">
        <v>7.0128424713160765E-3</v>
      </c>
      <c r="Y1795">
        <v>2.3277337435616838E-3</v>
      </c>
    </row>
    <row r="1796" spans="1:25" x14ac:dyDescent="0.25">
      <c r="A1796" s="1096"/>
      <c r="B1796" s="1455">
        <v>1546</v>
      </c>
      <c r="C1796" s="1100">
        <v>1.0063202083555121</v>
      </c>
      <c r="D1796" s="1100">
        <v>0.96412389456013914</v>
      </c>
      <c r="E1796" s="1100">
        <v>1.0055973598197736</v>
      </c>
      <c r="F1796" s="1100">
        <v>1.0351334817179307</v>
      </c>
      <c r="G1796" s="1100">
        <v>0.98945292774189897</v>
      </c>
      <c r="H1796" s="1100">
        <v>0.99169157100252525</v>
      </c>
      <c r="I1796" s="1100">
        <v>1.0020760319579236</v>
      </c>
      <c r="K1796">
        <v>1.1784161177446655</v>
      </c>
      <c r="L1796">
        <v>0</v>
      </c>
      <c r="M1796">
        <v>7.9149906914826413E-4</v>
      </c>
      <c r="N1796">
        <v>7.4075649128075863E-2</v>
      </c>
      <c r="O1796">
        <v>1.0437510378625101E-2</v>
      </c>
      <c r="P1796">
        <v>1.3983441378628886E-2</v>
      </c>
      <c r="Q1796">
        <v>4.5578322306295496E-4</v>
      </c>
      <c r="R1796">
        <v>7.8973140658429521E-4</v>
      </c>
      <c r="S1796">
        <v>7.3598312313597994E-2</v>
      </c>
      <c r="T1796">
        <v>0.85632770908428568</v>
      </c>
      <c r="U1796">
        <v>0</v>
      </c>
      <c r="V1796">
        <v>9.1489970753549518E-2</v>
      </c>
      <c r="W1796">
        <v>4.8501401509514326E-2</v>
      </c>
      <c r="X1796">
        <v>7.3987190840547447E-3</v>
      </c>
      <c r="Y1796">
        <v>2.1493885538342375E-3</v>
      </c>
    </row>
    <row r="1797" spans="1:25" x14ac:dyDescent="0.25">
      <c r="A1797" s="1096"/>
      <c r="B1797" s="1455">
        <v>1547</v>
      </c>
      <c r="C1797" s="1100">
        <v>1.0424726304764103</v>
      </c>
      <c r="D1797" s="1100">
        <v>0.98822981558719958</v>
      </c>
      <c r="E1797" s="1100">
        <v>0.99307720444188463</v>
      </c>
      <c r="F1797" s="1100">
        <v>0.98744255530782421</v>
      </c>
      <c r="G1797" s="1100">
        <v>1.0403287149277107</v>
      </c>
      <c r="H1797" s="1100">
        <v>1.0387063478981318</v>
      </c>
      <c r="I1797" s="1100">
        <v>1.0011061141760424</v>
      </c>
      <c r="K1797">
        <v>1.1368959286581981</v>
      </c>
      <c r="L1797">
        <v>0</v>
      </c>
      <c r="M1797">
        <v>8.1325322122314766E-4</v>
      </c>
      <c r="N1797">
        <v>7.329365598081132E-2</v>
      </c>
      <c r="O1797">
        <v>9.9725555359014093E-3</v>
      </c>
      <c r="P1797">
        <v>1.3324338543798006E-2</v>
      </c>
      <c r="Q1797">
        <v>4.3003149188424714E-4</v>
      </c>
      <c r="R1797">
        <v>8.1151918332758664E-4</v>
      </c>
      <c r="S1797">
        <v>7.1912246413519898E-2</v>
      </c>
      <c r="T1797">
        <v>0.81769351677000046</v>
      </c>
      <c r="U1797">
        <v>0</v>
      </c>
      <c r="V1797">
        <v>9.2809422241644318E-2</v>
      </c>
      <c r="W1797">
        <v>4.8348012850545449E-2</v>
      </c>
      <c r="X1797">
        <v>6.9051951681963313E-3</v>
      </c>
      <c r="Y1797">
        <v>2.2086876997908047E-3</v>
      </c>
    </row>
    <row r="1798" spans="1:25" x14ac:dyDescent="0.25">
      <c r="A1798" s="1096"/>
      <c r="B1798" s="1455">
        <v>1548</v>
      </c>
      <c r="C1798" s="1100">
        <v>1.0190163998750459</v>
      </c>
      <c r="D1798" s="1100">
        <v>0.99197534350902072</v>
      </c>
      <c r="E1798" s="1100">
        <v>1.0076883435557662</v>
      </c>
      <c r="F1798" s="1100">
        <v>1.0149220057665393</v>
      </c>
      <c r="G1798" s="1100">
        <v>0.97751134453520072</v>
      </c>
      <c r="H1798" s="1100">
        <v>0.98288066034169652</v>
      </c>
      <c r="I1798" s="1100">
        <v>0.98895241984585358</v>
      </c>
      <c r="K1798">
        <v>1.1529642551387158</v>
      </c>
      <c r="L1798">
        <v>0</v>
      </c>
      <c r="M1798">
        <v>7.6259994115084658E-4</v>
      </c>
      <c r="N1798">
        <v>7.182164476522504E-2</v>
      </c>
      <c r="O1798">
        <v>1.0191391170429545E-2</v>
      </c>
      <c r="P1798">
        <v>1.3718088193987663E-2</v>
      </c>
      <c r="Q1798">
        <v>4.4596866518597952E-4</v>
      </c>
      <c r="R1798">
        <v>7.6088155186756091E-4</v>
      </c>
      <c r="S1798">
        <v>7.0339545637263495E-2</v>
      </c>
      <c r="T1798">
        <v>0.83946745922708155</v>
      </c>
      <c r="U1798">
        <v>0</v>
      </c>
      <c r="V1798">
        <v>9.0672945285265122E-2</v>
      </c>
      <c r="W1798">
        <v>4.6967480486294295E-2</v>
      </c>
      <c r="X1798">
        <v>7.2705813376194878E-3</v>
      </c>
      <c r="Y1798">
        <v>2.0708687596473385E-3</v>
      </c>
    </row>
    <row r="1799" spans="1:25" x14ac:dyDescent="0.25">
      <c r="A1799" s="1096"/>
      <c r="B1799" s="1455">
        <v>1549</v>
      </c>
      <c r="C1799" s="1100">
        <v>1.004647824796751</v>
      </c>
      <c r="D1799" s="1100">
        <v>1.0271841676198727</v>
      </c>
      <c r="E1799" s="1100">
        <v>0.99678491153708859</v>
      </c>
      <c r="F1799" s="1100">
        <v>1.0128959334542753</v>
      </c>
      <c r="G1799" s="1100">
        <v>1.0303269250971574</v>
      </c>
      <c r="H1799" s="1100">
        <v>1.0127476135018285</v>
      </c>
      <c r="I1799" s="1100">
        <v>1.0200894637793345</v>
      </c>
      <c r="K1799">
        <v>1.1603864210025592</v>
      </c>
      <c r="L1799">
        <v>0</v>
      </c>
      <c r="M1799">
        <v>8.0395439677735713E-4</v>
      </c>
      <c r="N1799">
        <v>7.3268095859405413E-2</v>
      </c>
      <c r="O1799">
        <v>1.0190418575135834E-2</v>
      </c>
      <c r="P1799">
        <v>1.367255597727499E-2</v>
      </c>
      <c r="Q1799">
        <v>4.4107145041159807E-4</v>
      </c>
      <c r="R1799">
        <v>8.0219624742869735E-4</v>
      </c>
      <c r="S1799">
        <v>7.3491681457365995E-2</v>
      </c>
      <c r="T1799">
        <v>0.83852201183553776</v>
      </c>
      <c r="U1799">
        <v>0</v>
      </c>
      <c r="V1799">
        <v>9.3277183227365279E-2</v>
      </c>
      <c r="W1799">
        <v>4.822433770359609E-2</v>
      </c>
      <c r="X1799">
        <v>7.117509324235786E-3</v>
      </c>
      <c r="Y1799">
        <v>2.1833137415790209E-3</v>
      </c>
    </row>
    <row r="1800" spans="1:25" x14ac:dyDescent="0.25">
      <c r="A1800" s="1096"/>
      <c r="B1800" s="1455">
        <v>1550</v>
      </c>
      <c r="C1800" s="1100">
        <v>1.0475210016540759</v>
      </c>
      <c r="D1800" s="1100">
        <v>1.0306882062535259</v>
      </c>
      <c r="E1800" s="1100">
        <v>1.0326844892572773</v>
      </c>
      <c r="F1800" s="1100">
        <v>0.98211961722902119</v>
      </c>
      <c r="G1800" s="1100">
        <v>0.9661273954619386</v>
      </c>
      <c r="H1800" s="1100">
        <v>1.0019781929370806</v>
      </c>
      <c r="I1800" s="1100">
        <v>1.0327797432705705</v>
      </c>
      <c r="K1800">
        <v>1.1223448308177419</v>
      </c>
      <c r="L1800">
        <v>0</v>
      </c>
      <c r="M1800">
        <v>7.0702466156832931E-4</v>
      </c>
      <c r="N1800">
        <v>7.180598780540387E-2</v>
      </c>
      <c r="O1800">
        <v>9.7711456024430435E-3</v>
      </c>
      <c r="P1800">
        <v>1.3561788599825871E-2</v>
      </c>
      <c r="Q1800">
        <v>4.3833635983385217E-4</v>
      </c>
      <c r="R1800">
        <v>7.0546186708019399E-4</v>
      </c>
      <c r="S1800">
        <v>7.0850706304509903E-2</v>
      </c>
      <c r="T1800">
        <v>0.81072656567050538</v>
      </c>
      <c r="U1800">
        <v>0</v>
      </c>
      <c r="V1800">
        <v>8.9528637699264835E-2</v>
      </c>
      <c r="W1800">
        <v>4.6275617887788362E-2</v>
      </c>
      <c r="X1800">
        <v>7.4675730359044113E-3</v>
      </c>
      <c r="Y1800">
        <v>1.9200346467503058E-3</v>
      </c>
    </row>
    <row r="1801" spans="1:25" x14ac:dyDescent="0.25">
      <c r="A1801" s="1096"/>
      <c r="B1801" s="1455">
        <v>1551</v>
      </c>
      <c r="C1801" s="1100">
        <v>0.99176751738014601</v>
      </c>
      <c r="D1801" s="1100">
        <v>1.0091566218187416</v>
      </c>
      <c r="E1801" s="1100">
        <v>0.99858665916737577</v>
      </c>
      <c r="F1801" s="1100">
        <v>1.0339816564525985</v>
      </c>
      <c r="G1801" s="1100">
        <v>0.98273963941762876</v>
      </c>
      <c r="H1801" s="1100">
        <v>0.99136128482350694</v>
      </c>
      <c r="I1801" s="1100">
        <v>0.98868530733222915</v>
      </c>
      <c r="K1801">
        <v>1.1749989866431529</v>
      </c>
      <c r="L1801">
        <v>0</v>
      </c>
      <c r="M1801">
        <v>7.9987010944578181E-4</v>
      </c>
      <c r="N1801">
        <v>7.3290366584602695E-2</v>
      </c>
      <c r="O1801">
        <v>1.0396726700631671E-2</v>
      </c>
      <c r="P1801">
        <v>1.3882627180976699E-2</v>
      </c>
      <c r="Q1801">
        <v>4.5081784903358747E-4</v>
      </c>
      <c r="R1801">
        <v>7.9808315660556326E-4</v>
      </c>
      <c r="S1801">
        <v>7.1949349861592474E-2</v>
      </c>
      <c r="T1801">
        <v>0.85585426934693776</v>
      </c>
      <c r="U1801">
        <v>0</v>
      </c>
      <c r="V1801">
        <v>9.1563220388475919E-2</v>
      </c>
      <c r="W1801">
        <v>4.8187272115183692E-2</v>
      </c>
      <c r="X1801">
        <v>7.2540043043191043E-3</v>
      </c>
      <c r="Y1801">
        <v>2.172119264238475E-3</v>
      </c>
    </row>
    <row r="1802" spans="1:25" x14ac:dyDescent="0.25">
      <c r="A1802" s="1096"/>
      <c r="B1802" s="1455">
        <v>1552</v>
      </c>
      <c r="C1802" s="1100">
        <v>0.98535498007145472</v>
      </c>
      <c r="D1802" s="1100">
        <v>0.96114935967096371</v>
      </c>
      <c r="E1802" s="1100">
        <v>0.97448803954882568</v>
      </c>
      <c r="F1802" s="1100">
        <v>1.0084165884411282</v>
      </c>
      <c r="G1802" s="1100">
        <v>0.98200416060893159</v>
      </c>
      <c r="H1802" s="1100">
        <v>0.99957747056001223</v>
      </c>
      <c r="I1802" s="1100">
        <v>0.99011061737363304</v>
      </c>
      <c r="K1802">
        <v>1.1599341579648128</v>
      </c>
      <c r="L1802">
        <v>0</v>
      </c>
      <c r="M1802">
        <v>8.7006527793113324E-4</v>
      </c>
      <c r="N1802">
        <v>7.4120138103881184E-2</v>
      </c>
      <c r="O1802">
        <v>1.0662289088035452E-2</v>
      </c>
      <c r="P1802">
        <v>1.3408911608662977E-2</v>
      </c>
      <c r="Q1802">
        <v>4.5118628129687643E-4</v>
      </c>
      <c r="R1802">
        <v>8.6813748245724012E-4</v>
      </c>
      <c r="S1802">
        <v>7.4675133009743835E-2</v>
      </c>
      <c r="T1802">
        <v>0.83631284013856033</v>
      </c>
      <c r="U1802">
        <v>0</v>
      </c>
      <c r="V1802">
        <v>9.169062692449792E-2</v>
      </c>
      <c r="W1802">
        <v>4.9443442330880022E-2</v>
      </c>
      <c r="X1802">
        <v>6.808734228921514E-3</v>
      </c>
      <c r="Y1802">
        <v>2.3627840458044285E-3</v>
      </c>
    </row>
    <row r="1803" spans="1:25" x14ac:dyDescent="0.25">
      <c r="A1803" s="1096"/>
      <c r="B1803" s="1455">
        <v>1553</v>
      </c>
      <c r="C1803" s="1100">
        <v>0.99235802188151789</v>
      </c>
      <c r="D1803" s="1100">
        <v>0.99775324997889137</v>
      </c>
      <c r="E1803" s="1100">
        <v>0.9796671407831703</v>
      </c>
      <c r="F1803" s="1100">
        <v>0.99668622712519284</v>
      </c>
      <c r="G1803" s="1100">
        <v>0.96989353083784602</v>
      </c>
      <c r="H1803" s="1100">
        <v>1.0209997641610098</v>
      </c>
      <c r="I1803" s="1100">
        <v>0.96784147971340129</v>
      </c>
      <c r="K1803">
        <v>1.146404924036623</v>
      </c>
      <c r="L1803">
        <v>0</v>
      </c>
      <c r="M1803">
        <v>8.6008949260275446E-4</v>
      </c>
      <c r="N1803">
        <v>7.443123129526219E-2</v>
      </c>
      <c r="O1803">
        <v>1.0431644986054138E-2</v>
      </c>
      <c r="P1803">
        <v>1.3280889350849206E-2</v>
      </c>
      <c r="Q1803">
        <v>4.4375993834927085E-4</v>
      </c>
      <c r="R1803">
        <v>8.5822378501326606E-4</v>
      </c>
      <c r="S1803">
        <v>7.1957896324637463E-2</v>
      </c>
      <c r="T1803">
        <v>0.82623889405778939</v>
      </c>
      <c r="U1803">
        <v>0</v>
      </c>
      <c r="V1803">
        <v>9.0996034808035947E-2</v>
      </c>
      <c r="W1803">
        <v>4.949557552004745E-2</v>
      </c>
      <c r="X1803">
        <v>6.7950612337759264E-3</v>
      </c>
      <c r="Y1803">
        <v>2.3358022294114144E-3</v>
      </c>
    </row>
    <row r="1804" spans="1:25" x14ac:dyDescent="0.25">
      <c r="A1804" s="1096"/>
      <c r="B1804" s="1455">
        <v>1554</v>
      </c>
      <c r="C1804" s="1100">
        <v>1.0065077056238112</v>
      </c>
      <c r="D1804" s="1100">
        <v>0.97834166199641648</v>
      </c>
      <c r="E1804" s="1100">
        <v>0.99732859821360431</v>
      </c>
      <c r="F1804" s="1100">
        <v>1.0091199793305483</v>
      </c>
      <c r="G1804" s="1100">
        <v>0.97342166843067002</v>
      </c>
      <c r="H1804" s="1100">
        <v>0.98800448045522582</v>
      </c>
      <c r="I1804" s="1100">
        <v>0.99759183772861004</v>
      </c>
      <c r="K1804">
        <v>1.1530774804943089</v>
      </c>
      <c r="L1804">
        <v>0</v>
      </c>
      <c r="M1804">
        <v>7.9736907966646963E-4</v>
      </c>
      <c r="N1804">
        <v>7.2783438157899019E-2</v>
      </c>
      <c r="O1804">
        <v>1.0371924326518428E-2</v>
      </c>
      <c r="P1804">
        <v>1.3588477126842205E-2</v>
      </c>
      <c r="Q1804">
        <v>4.4917336353123412E-4</v>
      </c>
      <c r="R1804">
        <v>7.9558166196567581E-4</v>
      </c>
      <c r="S1804">
        <v>7.2545810651114914E-2</v>
      </c>
      <c r="T1804">
        <v>0.83535972749372112</v>
      </c>
      <c r="U1804">
        <v>0</v>
      </c>
      <c r="V1804">
        <v>9.0798687164502845E-2</v>
      </c>
      <c r="W1804">
        <v>4.7889827260577507E-2</v>
      </c>
      <c r="X1804">
        <v>7.1268913468563698E-3</v>
      </c>
      <c r="Y1804">
        <v>2.1653110204461878E-3</v>
      </c>
    </row>
    <row r="1805" spans="1:25" x14ac:dyDescent="0.25">
      <c r="A1805" s="1096"/>
      <c r="B1805" s="1455">
        <v>1555</v>
      </c>
      <c r="C1805" s="1100">
        <v>1.0364802975019292</v>
      </c>
      <c r="D1805" s="1100">
        <v>0.9946406379191306</v>
      </c>
      <c r="E1805" s="1100">
        <v>0.9881455224129907</v>
      </c>
      <c r="F1805" s="1100">
        <v>0.97597591182102905</v>
      </c>
      <c r="G1805" s="1100">
        <v>1.0321071090181686</v>
      </c>
      <c r="H1805" s="1100">
        <v>1.011006389386198</v>
      </c>
      <c r="I1805" s="1100">
        <v>1.0053576369770654</v>
      </c>
      <c r="K1805">
        <v>1.1232756353677893</v>
      </c>
      <c r="L1805">
        <v>0</v>
      </c>
      <c r="M1805">
        <v>8.0223842522237363E-4</v>
      </c>
      <c r="N1805">
        <v>7.1226780654038313E-2</v>
      </c>
      <c r="O1805">
        <v>1.0002743235850022E-2</v>
      </c>
      <c r="P1805">
        <v>1.3139721516636236E-2</v>
      </c>
      <c r="Q1805">
        <v>4.2918920658157624E-4</v>
      </c>
      <c r="R1805">
        <v>8.0048100695074404E-4</v>
      </c>
      <c r="S1805">
        <v>7.129449398342759E-2</v>
      </c>
      <c r="T1805">
        <v>0.80851819837068717</v>
      </c>
      <c r="U1805">
        <v>0</v>
      </c>
      <c r="V1805">
        <v>9.2594785507550459E-2</v>
      </c>
      <c r="W1805">
        <v>4.7123551000624819E-2</v>
      </c>
      <c r="X1805">
        <v>6.7692838882378471E-3</v>
      </c>
      <c r="Y1805">
        <v>2.1786454224269024E-3</v>
      </c>
    </row>
    <row r="1806" spans="1:25" x14ac:dyDescent="0.25">
      <c r="A1806" s="1096"/>
      <c r="B1806" s="1455">
        <v>1556</v>
      </c>
      <c r="C1806" s="1100">
        <v>1.0180877837256155</v>
      </c>
      <c r="D1806" s="1100">
        <v>1.0227001337918848</v>
      </c>
      <c r="E1806" s="1100">
        <v>0.97084174634290643</v>
      </c>
      <c r="F1806" s="1100">
        <v>0.97722981911071061</v>
      </c>
      <c r="G1806" s="1100">
        <v>1.0111526153062311</v>
      </c>
      <c r="H1806" s="1100">
        <v>0.98868904418484127</v>
      </c>
      <c r="I1806" s="1100">
        <v>1.038366329945166</v>
      </c>
      <c r="K1806">
        <v>1.1230894300709569</v>
      </c>
      <c r="L1806">
        <v>0</v>
      </c>
      <c r="M1806">
        <v>8.1863486314842746E-4</v>
      </c>
      <c r="N1806">
        <v>6.8971565119393563E-2</v>
      </c>
      <c r="O1806">
        <v>1.0065261634837301E-2</v>
      </c>
      <c r="P1806">
        <v>1.3012897217093939E-2</v>
      </c>
      <c r="Q1806">
        <v>4.2434039798575714E-4</v>
      </c>
      <c r="R1806">
        <v>8.1680104573582271E-4</v>
      </c>
      <c r="S1806">
        <v>7.2966598084422213E-2</v>
      </c>
      <c r="T1806">
        <v>0.81068768949356529</v>
      </c>
      <c r="U1806">
        <v>0</v>
      </c>
      <c r="V1806">
        <v>9.2128581271498741E-2</v>
      </c>
      <c r="W1806">
        <v>4.6110978083412954E-2</v>
      </c>
      <c r="X1806">
        <v>6.5002893980593904E-3</v>
      </c>
      <c r="Y1806">
        <v>2.2230631881005477E-3</v>
      </c>
    </row>
    <row r="1807" spans="1:25" x14ac:dyDescent="0.25">
      <c r="A1807" s="1096"/>
      <c r="B1807" s="1455">
        <v>1557</v>
      </c>
      <c r="C1807" s="1100">
        <v>0.99143822005921156</v>
      </c>
      <c r="D1807" s="1100">
        <v>0.98174722617430088</v>
      </c>
      <c r="E1807" s="1100">
        <v>1.007999650456308</v>
      </c>
      <c r="F1807" s="1100">
        <v>1.0114429732829273</v>
      </c>
      <c r="G1807" s="1100">
        <v>1.0078468381542782</v>
      </c>
      <c r="H1807" s="1100">
        <v>1.0022153305484338</v>
      </c>
      <c r="I1807" s="1100">
        <v>1.036303258541039</v>
      </c>
      <c r="K1807">
        <v>1.1656038715529196</v>
      </c>
      <c r="L1807">
        <v>0</v>
      </c>
      <c r="M1807">
        <v>8.0203298575304304E-4</v>
      </c>
      <c r="N1807">
        <v>7.5609777576036083E-2</v>
      </c>
      <c r="O1807">
        <v>1.0518498404903763E-2</v>
      </c>
      <c r="P1807">
        <v>1.3799920041366804E-2</v>
      </c>
      <c r="Q1807">
        <v>4.6042609589245505E-4</v>
      </c>
      <c r="R1807">
        <v>8.0026060605646024E-4</v>
      </c>
      <c r="S1807">
        <v>7.6991708075470122E-2</v>
      </c>
      <c r="T1807">
        <v>0.83656909833488968</v>
      </c>
      <c r="U1807">
        <v>0</v>
      </c>
      <c r="V1807">
        <v>9.2646372452599532E-2</v>
      </c>
      <c r="W1807">
        <v>4.9435623775693563E-2</v>
      </c>
      <c r="X1807">
        <v>7.3961736119159379E-3</v>
      </c>
      <c r="Y1807">
        <v>2.1780455638477974E-3</v>
      </c>
    </row>
    <row r="1808" spans="1:25" x14ac:dyDescent="0.25">
      <c r="A1808" s="1096"/>
      <c r="B1808" s="1455">
        <v>1558</v>
      </c>
      <c r="C1808" s="1100">
        <v>1.0000538726334685</v>
      </c>
      <c r="D1808" s="1100">
        <v>0.98930202424771418</v>
      </c>
      <c r="E1808" s="1100">
        <v>0.96258664235410851</v>
      </c>
      <c r="F1808" s="1100">
        <v>1.0123420670455099</v>
      </c>
      <c r="G1808" s="1100">
        <v>0.99855332992731849</v>
      </c>
      <c r="H1808" s="1100">
        <v>0.98062310087535354</v>
      </c>
      <c r="I1808" s="1100">
        <v>1.0292839696927487</v>
      </c>
      <c r="K1808">
        <v>1.1570472044233371</v>
      </c>
      <c r="L1808">
        <v>0</v>
      </c>
      <c r="M1808">
        <v>8.5203940224468468E-4</v>
      </c>
      <c r="N1808">
        <v>7.001215713127211E-2</v>
      </c>
      <c r="O1808">
        <v>1.0381061912026292E-2</v>
      </c>
      <c r="P1808">
        <v>1.3343509512061332E-2</v>
      </c>
      <c r="Q1808">
        <v>4.3397035869763431E-4</v>
      </c>
      <c r="R1808">
        <v>8.5011505635283107E-4</v>
      </c>
      <c r="S1808">
        <v>7.4550883673295265E-2</v>
      </c>
      <c r="T1808">
        <v>0.84037828364231393</v>
      </c>
      <c r="U1808">
        <v>0</v>
      </c>
      <c r="V1808">
        <v>9.2027421848114146E-2</v>
      </c>
      <c r="W1808">
        <v>4.7043048726147008E-2</v>
      </c>
      <c r="X1808">
        <v>6.5650590222615136E-3</v>
      </c>
      <c r="Y1808">
        <v>2.3137329430393959E-3</v>
      </c>
    </row>
    <row r="1809" spans="1:25" x14ac:dyDescent="0.25">
      <c r="A1809" s="1096"/>
      <c r="B1809" s="1455">
        <v>1559</v>
      </c>
      <c r="C1809" s="1100">
        <v>1.0471228944432367</v>
      </c>
      <c r="D1809" s="1100">
        <v>1.0255863002816898</v>
      </c>
      <c r="E1809" s="1100">
        <v>0.99924092897503669</v>
      </c>
      <c r="F1809" s="1100">
        <v>1.0108760263059815</v>
      </c>
      <c r="G1809" s="1100">
        <v>1.0180101338007688</v>
      </c>
      <c r="H1809" s="1100">
        <v>0.99518722288424555</v>
      </c>
      <c r="I1809" s="1100">
        <v>0.97570634650535071</v>
      </c>
      <c r="K1809">
        <v>1.1429125497760642</v>
      </c>
      <c r="L1809">
        <v>0</v>
      </c>
      <c r="M1809">
        <v>7.5458778204321418E-4</v>
      </c>
      <c r="N1809">
        <v>6.9278658192434395E-2</v>
      </c>
      <c r="O1809">
        <v>9.7839085127031655E-3</v>
      </c>
      <c r="P1809">
        <v>1.3561137136886123E-2</v>
      </c>
      <c r="Q1809">
        <v>4.2452439037782015E-4</v>
      </c>
      <c r="R1809">
        <v>7.5290847327575815E-4</v>
      </c>
      <c r="S1809">
        <v>6.6840188033965325E-2</v>
      </c>
      <c r="T1809">
        <v>0.83668531120680112</v>
      </c>
      <c r="U1809">
        <v>0</v>
      </c>
      <c r="V1809">
        <v>9.175028429523116E-2</v>
      </c>
      <c r="W1809">
        <v>4.5531912184590698E-2</v>
      </c>
      <c r="X1809">
        <v>7.0091364637975394E-3</v>
      </c>
      <c r="Y1809">
        <v>2.0491686680451033E-3</v>
      </c>
    </row>
    <row r="1810" spans="1:25" x14ac:dyDescent="0.25">
      <c r="A1810" s="1096"/>
      <c r="B1810" s="1455">
        <v>1560</v>
      </c>
      <c r="C1810" s="1100">
        <v>0.9865014504433145</v>
      </c>
      <c r="D1810" s="1100">
        <v>0.98541902036907247</v>
      </c>
      <c r="E1810" s="1100">
        <v>0.9713989591535741</v>
      </c>
      <c r="F1810" s="1100">
        <v>1.0303835589674935</v>
      </c>
      <c r="G1810" s="1100">
        <v>0.99602830431479628</v>
      </c>
      <c r="H1810" s="1100">
        <v>0.9808136529965733</v>
      </c>
      <c r="I1810" s="1100">
        <v>1.0128194427846693</v>
      </c>
      <c r="K1810">
        <v>1.1749078174352325</v>
      </c>
      <c r="L1810">
        <v>0</v>
      </c>
      <c r="M1810">
        <v>8.496807610380413E-4</v>
      </c>
      <c r="N1810">
        <v>7.170682153132725E-2</v>
      </c>
      <c r="O1810">
        <v>1.054316830863565E-2</v>
      </c>
      <c r="P1810">
        <v>1.3628848961329843E-2</v>
      </c>
      <c r="Q1810">
        <v>4.4474147585614677E-4</v>
      </c>
      <c r="R1810">
        <v>8.4776211500489358E-4</v>
      </c>
      <c r="S1810">
        <v>7.4535434486307797E-2</v>
      </c>
      <c r="T1810">
        <v>0.85474427885986082</v>
      </c>
      <c r="U1810">
        <v>0</v>
      </c>
      <c r="V1810">
        <v>9.2260801789571759E-2</v>
      </c>
      <c r="W1810">
        <v>4.7923394319390543E-2</v>
      </c>
      <c r="X1810">
        <v>6.8149173366495097E-3</v>
      </c>
      <c r="Y1810">
        <v>2.3073290123372166E-3</v>
      </c>
    </row>
    <row r="1811" spans="1:25" x14ac:dyDescent="0.25">
      <c r="A1811" s="1096"/>
      <c r="B1811" s="1455">
        <v>1561</v>
      </c>
      <c r="C1811" s="1100">
        <v>0.98915972022113763</v>
      </c>
      <c r="D1811" s="1100">
        <v>1.0051922731900469</v>
      </c>
      <c r="E1811" s="1100">
        <v>0.97002599772081877</v>
      </c>
      <c r="F1811" s="1100">
        <v>0.96192039202867063</v>
      </c>
      <c r="G1811" s="1100">
        <v>1.0035045152626827</v>
      </c>
      <c r="H1811" s="1100">
        <v>1.0387558756144446</v>
      </c>
      <c r="I1811" s="1100">
        <v>0.97855764970457038</v>
      </c>
      <c r="K1811">
        <v>1.1218670451268531</v>
      </c>
      <c r="L1811">
        <v>0</v>
      </c>
      <c r="M1811">
        <v>8.928816926367587E-4</v>
      </c>
      <c r="N1811">
        <v>7.5049548901332294E-2</v>
      </c>
      <c r="O1811">
        <v>1.0431154534962716E-2</v>
      </c>
      <c r="P1811">
        <v>1.2847330068852107E-2</v>
      </c>
      <c r="Q1811">
        <v>4.3939962476438306E-4</v>
      </c>
      <c r="R1811">
        <v>8.9097795979116358E-4</v>
      </c>
      <c r="S1811">
        <v>7.3414368044546874E-2</v>
      </c>
      <c r="T1811">
        <v>0.79804003652731648</v>
      </c>
      <c r="U1811">
        <v>0</v>
      </c>
      <c r="V1811">
        <v>9.2512916856295285E-2</v>
      </c>
      <c r="W1811">
        <v>5.0199326292030937E-2</v>
      </c>
      <c r="X1811">
        <v>6.5099197138503151E-3</v>
      </c>
      <c r="Y1811">
        <v>2.4249482957460385E-3</v>
      </c>
    </row>
    <row r="1812" spans="1:25" x14ac:dyDescent="0.25">
      <c r="A1812" s="1096"/>
      <c r="B1812" s="1455">
        <v>1562</v>
      </c>
      <c r="C1812" s="1100">
        <v>0.97760523441225222</v>
      </c>
      <c r="D1812" s="1100">
        <v>1.0161828728472064</v>
      </c>
      <c r="E1812" s="1100">
        <v>1.0111482657619719</v>
      </c>
      <c r="F1812" s="1100">
        <v>1.0127837199739114</v>
      </c>
      <c r="G1812" s="1100">
        <v>0.98065691059396387</v>
      </c>
      <c r="H1812" s="1100">
        <v>1.0358104030638382</v>
      </c>
      <c r="I1812" s="1100">
        <v>0.994183791495303</v>
      </c>
      <c r="K1812">
        <v>1.1683469398970339</v>
      </c>
      <c r="L1812">
        <v>0</v>
      </c>
      <c r="M1812">
        <v>8.2372845935899846E-4</v>
      </c>
      <c r="N1812">
        <v>7.8402404596077516E-2</v>
      </c>
      <c r="O1812">
        <v>1.0522290930598484E-2</v>
      </c>
      <c r="P1812">
        <v>1.380567547145521E-2</v>
      </c>
      <c r="Q1812">
        <v>4.6204443573952188E-4</v>
      </c>
      <c r="R1812">
        <v>8.2196717539793419E-4</v>
      </c>
      <c r="S1812">
        <v>7.4978931067849794E-2</v>
      </c>
      <c r="T1812">
        <v>0.83746790703778695</v>
      </c>
      <c r="U1812">
        <v>0</v>
      </c>
      <c r="V1812">
        <v>9.1838365369920502E-2</v>
      </c>
      <c r="W1812">
        <v>5.1166396390692807E-2</v>
      </c>
      <c r="X1812">
        <v>7.467562190847472E-3</v>
      </c>
      <c r="Y1812">
        <v>2.2371236900266297E-3</v>
      </c>
    </row>
    <row r="1813" spans="1:25" x14ac:dyDescent="0.25">
      <c r="A1813" s="1096"/>
      <c r="B1813" s="1455">
        <v>1563</v>
      </c>
      <c r="C1813" s="1100">
        <v>1.0023160208857578</v>
      </c>
      <c r="D1813" s="1100">
        <v>0.98288945998874533</v>
      </c>
      <c r="E1813" s="1100">
        <v>0.9943649927074858</v>
      </c>
      <c r="F1813" s="1100">
        <v>1.0242422605859254</v>
      </c>
      <c r="G1813" s="1100">
        <v>0.95725728909707219</v>
      </c>
      <c r="H1813" s="1100">
        <v>0.96566223768832138</v>
      </c>
      <c r="I1813" s="1100">
        <v>1.0067527220777812</v>
      </c>
      <c r="K1813">
        <v>1.1624968938890154</v>
      </c>
      <c r="L1813">
        <v>0</v>
      </c>
      <c r="M1813">
        <v>7.8596023307924031E-4</v>
      </c>
      <c r="N1813">
        <v>7.1098665403017874E-2</v>
      </c>
      <c r="O1813">
        <v>1.039502256456418E-2</v>
      </c>
      <c r="P1813">
        <v>1.3721269966468998E-2</v>
      </c>
      <c r="Q1813">
        <v>4.4883154061565371E-4</v>
      </c>
      <c r="R1813">
        <v>7.8415762670670222E-4</v>
      </c>
      <c r="S1813">
        <v>7.242018637205852E-2</v>
      </c>
      <c r="T1813">
        <v>0.84807947438521503</v>
      </c>
      <c r="U1813">
        <v>0</v>
      </c>
      <c r="V1813">
        <v>9.021003471174581E-2</v>
      </c>
      <c r="W1813">
        <v>4.686403019781793E-2</v>
      </c>
      <c r="X1813">
        <v>7.126962791480014E-3</v>
      </c>
      <c r="Y1813">
        <v>2.1342185624034721E-3</v>
      </c>
    </row>
    <row r="1814" spans="1:25" x14ac:dyDescent="0.25">
      <c r="A1814" s="1096"/>
      <c r="B1814" s="1455">
        <v>1564</v>
      </c>
      <c r="C1814" s="1100">
        <v>0.98129451913048504</v>
      </c>
      <c r="D1814" s="1100">
        <v>0.99515324025058927</v>
      </c>
      <c r="E1814" s="1100">
        <v>1.0032807111674895</v>
      </c>
      <c r="F1814" s="1100">
        <v>0.99108456918593557</v>
      </c>
      <c r="G1814" s="1100">
        <v>1.0195893401848213</v>
      </c>
      <c r="H1814" s="1100">
        <v>1.0054343906273782</v>
      </c>
      <c r="I1814" s="1100">
        <v>0.98020603704392384</v>
      </c>
      <c r="K1814">
        <v>1.1462344882390811</v>
      </c>
      <c r="L1814">
        <v>0</v>
      </c>
      <c r="M1814">
        <v>8.1648818903365123E-4</v>
      </c>
      <c r="N1814">
        <v>7.5883887872028669E-2</v>
      </c>
      <c r="O1814">
        <v>1.0568152194802128E-2</v>
      </c>
      <c r="P1814">
        <v>1.3484152857377101E-2</v>
      </c>
      <c r="Q1814">
        <v>4.6041730172750769E-4</v>
      </c>
      <c r="R1814">
        <v>8.1468964221076347E-4</v>
      </c>
      <c r="S1814">
        <v>7.3191634713746789E-2</v>
      </c>
      <c r="T1814">
        <v>0.82003934578003512</v>
      </c>
      <c r="U1814">
        <v>0</v>
      </c>
      <c r="V1814">
        <v>9.3406067566278436E-2</v>
      </c>
      <c r="W1814">
        <v>4.975357366358104E-2</v>
      </c>
      <c r="X1814">
        <v>7.231738192597102E-3</v>
      </c>
      <c r="Y1814">
        <v>2.2173166437293211E-3</v>
      </c>
    </row>
    <row r="1815" spans="1:25" x14ac:dyDescent="0.25">
      <c r="A1815" s="1096"/>
      <c r="B1815" s="1455">
        <v>1565</v>
      </c>
      <c r="C1815" s="1100">
        <v>1.0145121932910746</v>
      </c>
      <c r="D1815" s="1100">
        <v>1.0030923557520091</v>
      </c>
      <c r="E1815" s="1100">
        <v>0.98661073811135469</v>
      </c>
      <c r="F1815" s="1100">
        <v>1.0079111479669682</v>
      </c>
      <c r="G1815" s="1100">
        <v>0.99055374123511886</v>
      </c>
      <c r="H1815" s="1100">
        <v>0.99234338228420227</v>
      </c>
      <c r="I1815" s="1100">
        <v>1.0028261523360431</v>
      </c>
      <c r="K1815">
        <v>1.149316423916928</v>
      </c>
      <c r="L1815">
        <v>0</v>
      </c>
      <c r="M1815">
        <v>8.0431343627553411E-4</v>
      </c>
      <c r="N1815">
        <v>7.1077409683087789E-2</v>
      </c>
      <c r="O1815">
        <v>1.0184318344191779E-2</v>
      </c>
      <c r="P1815">
        <v>1.3469866396888078E-2</v>
      </c>
      <c r="Q1815">
        <v>4.363017263963124E-4</v>
      </c>
      <c r="R1815">
        <v>8.0251833513095728E-4</v>
      </c>
      <c r="S1815">
        <v>7.1589170005821309E-2</v>
      </c>
      <c r="T1815">
        <v>0.83507704033362051</v>
      </c>
      <c r="U1815">
        <v>0</v>
      </c>
      <c r="V1815">
        <v>9.1335367674484233E-2</v>
      </c>
      <c r="W1815">
        <v>4.7068073014154145E-2</v>
      </c>
      <c r="X1815">
        <v>6.8964814812993653E-3</v>
      </c>
      <c r="Y1815">
        <v>2.1841903581283884E-3</v>
      </c>
    </row>
    <row r="1816" spans="1:25" x14ac:dyDescent="0.25">
      <c r="A1816" s="1096"/>
      <c r="B1816" s="1455">
        <v>1566</v>
      </c>
      <c r="C1816" s="1100">
        <v>0.98476148036238009</v>
      </c>
      <c r="D1816" s="1100">
        <v>0.98247167069315711</v>
      </c>
      <c r="E1816" s="1100">
        <v>1.0014658282107254</v>
      </c>
      <c r="F1816" s="1100">
        <v>0.9940394723333501</v>
      </c>
      <c r="G1816" s="1100">
        <v>0.99049105040306507</v>
      </c>
      <c r="H1816" s="1100">
        <v>1.0257137356990778</v>
      </c>
      <c r="I1816" s="1100">
        <v>0.98465605116108701</v>
      </c>
      <c r="K1816">
        <v>1.1515163889922067</v>
      </c>
      <c r="L1816">
        <v>0</v>
      </c>
      <c r="M1816">
        <v>8.3744094127027554E-4</v>
      </c>
      <c r="N1816">
        <v>7.7409083136164542E-2</v>
      </c>
      <c r="O1816">
        <v>1.0584501658644403E-2</v>
      </c>
      <c r="P1816">
        <v>1.3501645594712466E-2</v>
      </c>
      <c r="Q1816">
        <v>4.6029022848373933E-4</v>
      </c>
      <c r="R1816">
        <v>8.3563271158099085E-4</v>
      </c>
      <c r="S1816">
        <v>7.4577634078036276E-2</v>
      </c>
      <c r="T1816">
        <v>0.82260357928035832</v>
      </c>
      <c r="U1816">
        <v>0</v>
      </c>
      <c r="V1816">
        <v>9.2072867182860993E-2</v>
      </c>
      <c r="W1816">
        <v>5.0808247203334128E-2</v>
      </c>
      <c r="X1816">
        <v>7.2260320846256627E-3</v>
      </c>
      <c r="Y1816">
        <v>2.274316774674118E-3</v>
      </c>
    </row>
    <row r="1817" spans="1:25" x14ac:dyDescent="0.25">
      <c r="A1817" s="1096"/>
      <c r="B1817" s="1455">
        <v>1567</v>
      </c>
      <c r="C1817" s="1100">
        <v>0.99076241635334794</v>
      </c>
      <c r="D1817" s="1100">
        <v>0.97522786784145943</v>
      </c>
      <c r="E1817" s="1100">
        <v>0.97294378993258968</v>
      </c>
      <c r="F1817" s="1100">
        <v>0.99799977905630621</v>
      </c>
      <c r="G1817" s="1100">
        <v>0.97075403852271869</v>
      </c>
      <c r="H1817" s="1100">
        <v>1.0048393113529768</v>
      </c>
      <c r="I1817" s="1100">
        <v>1.0186856774263553</v>
      </c>
      <c r="K1817">
        <v>1.1509492073738214</v>
      </c>
      <c r="L1817">
        <v>0</v>
      </c>
      <c r="M1817">
        <v>8.6758988663596678E-4</v>
      </c>
      <c r="N1817">
        <v>7.3565431802824349E-2</v>
      </c>
      <c r="O1817">
        <v>1.0542082720562588E-2</v>
      </c>
      <c r="P1817">
        <v>1.3289367269368932E-2</v>
      </c>
      <c r="Q1817">
        <v>4.453975318977769E-4</v>
      </c>
      <c r="R1817">
        <v>8.6567764204320563E-4</v>
      </c>
      <c r="S1817">
        <v>7.6062068325084678E-2</v>
      </c>
      <c r="T1817">
        <v>0.82777718247027776</v>
      </c>
      <c r="U1817">
        <v>0</v>
      </c>
      <c r="V1817">
        <v>9.1072010450113344E-2</v>
      </c>
      <c r="W1817">
        <v>4.9119422379795663E-2</v>
      </c>
      <c r="X1817">
        <v>6.7220674974045637E-3</v>
      </c>
      <c r="Y1817">
        <v>2.3560891710836009E-3</v>
      </c>
    </row>
    <row r="1818" spans="1:25" x14ac:dyDescent="0.25">
      <c r="A1818" s="1096"/>
      <c r="B1818" s="1455">
        <v>1568</v>
      </c>
      <c r="C1818" s="1100">
        <v>1.0005616461612539</v>
      </c>
      <c r="D1818" s="1100">
        <v>1.0226179773526907</v>
      </c>
      <c r="E1818" s="1100">
        <v>1.0131012314504197</v>
      </c>
      <c r="F1818" s="1100">
        <v>0.99351401453577848</v>
      </c>
      <c r="G1818" s="1100">
        <v>0.99181853007922638</v>
      </c>
      <c r="H1818" s="1100">
        <v>0.99991745432603318</v>
      </c>
      <c r="I1818" s="1100">
        <v>1.0048326663867393</v>
      </c>
      <c r="K1818">
        <v>1.1412436776722614</v>
      </c>
      <c r="L1818">
        <v>0</v>
      </c>
      <c r="M1818">
        <v>7.7184192408786731E-4</v>
      </c>
      <c r="N1818">
        <v>7.3892518884038305E-2</v>
      </c>
      <c r="O1818">
        <v>1.0255579717211369E-2</v>
      </c>
      <c r="P1818">
        <v>1.3566916323173629E-2</v>
      </c>
      <c r="Q1818">
        <v>4.512118702446645E-4</v>
      </c>
      <c r="R1818">
        <v>7.7013234265323866E-4</v>
      </c>
      <c r="S1818">
        <v>7.2353655136071143E-2</v>
      </c>
      <c r="T1818">
        <v>0.82140614897884745</v>
      </c>
      <c r="U1818">
        <v>0</v>
      </c>
      <c r="V1818">
        <v>9.1734063998509904E-2</v>
      </c>
      <c r="W1818">
        <v>4.8167778260486543E-2</v>
      </c>
      <c r="X1818">
        <v>7.3214677224693872E-3</v>
      </c>
      <c r="Y1818">
        <v>2.0960463626435899E-3</v>
      </c>
    </row>
    <row r="1819" spans="1:25" x14ac:dyDescent="0.25">
      <c r="A1819" s="1096"/>
      <c r="B1819" s="1455">
        <v>1569</v>
      </c>
      <c r="C1819" s="1100">
        <v>0.9860664144418283</v>
      </c>
      <c r="D1819" s="1100">
        <v>0.96606227512377996</v>
      </c>
      <c r="E1819" s="1100">
        <v>1.0128503047475144</v>
      </c>
      <c r="F1819" s="1100">
        <v>0.96766979076746062</v>
      </c>
      <c r="G1819" s="1100">
        <v>0.98515618622419154</v>
      </c>
      <c r="H1819" s="1100">
        <v>1.008013092839956</v>
      </c>
      <c r="I1819" s="1100">
        <v>1.0172078267280933</v>
      </c>
      <c r="K1819">
        <v>1.1304312944305284</v>
      </c>
      <c r="L1819">
        <v>0</v>
      </c>
      <c r="M1819">
        <v>8.081237934690086E-4</v>
      </c>
      <c r="N1819">
        <v>7.7308779429894489E-2</v>
      </c>
      <c r="O1819">
        <v>1.0645786870893214E-2</v>
      </c>
      <c r="P1819">
        <v>1.3333880119517694E-2</v>
      </c>
      <c r="Q1819">
        <v>4.6826242606280992E-4</v>
      </c>
      <c r="R1819">
        <v>8.063482255130797E-4</v>
      </c>
      <c r="S1819">
        <v>7.6868997011802359E-2</v>
      </c>
      <c r="T1819">
        <v>0.80005493073572154</v>
      </c>
      <c r="U1819">
        <v>0</v>
      </c>
      <c r="V1819">
        <v>9.1813421747799662E-2</v>
      </c>
      <c r="W1819">
        <v>5.0402150917996241E-2</v>
      </c>
      <c r="X1819">
        <v>7.3422466815695068E-3</v>
      </c>
      <c r="Y1819">
        <v>2.1946140572255005E-3</v>
      </c>
    </row>
    <row r="1820" spans="1:25" x14ac:dyDescent="0.25">
      <c r="A1820" s="1096"/>
      <c r="B1820" s="1455">
        <v>1570</v>
      </c>
      <c r="C1820" s="1100">
        <v>0.96868467943226988</v>
      </c>
      <c r="D1820" s="1100">
        <v>0.998258062688823</v>
      </c>
      <c r="E1820" s="1100">
        <v>0.97516083384259311</v>
      </c>
      <c r="F1820" s="1100">
        <v>0.96168069710773085</v>
      </c>
      <c r="G1820" s="1100">
        <v>1.0038373316429072</v>
      </c>
      <c r="H1820" s="1100">
        <v>1.0000969595463653</v>
      </c>
      <c r="I1820" s="1100">
        <v>1.0138979160410977</v>
      </c>
      <c r="K1820">
        <v>1.1238941101458142</v>
      </c>
      <c r="L1820">
        <v>0</v>
      </c>
      <c r="M1820">
        <v>8.7097021798266175E-4</v>
      </c>
      <c r="N1820">
        <v>7.434856578619535E-2</v>
      </c>
      <c r="O1820">
        <v>1.0682900179229104E-2</v>
      </c>
      <c r="P1820">
        <v>1.2936896510560134E-2</v>
      </c>
      <c r="Q1820">
        <v>4.5236859000896164E-4</v>
      </c>
      <c r="R1820">
        <v>8.6904141985451951E-4</v>
      </c>
      <c r="S1820">
        <v>7.6308427587971864E-2</v>
      </c>
      <c r="T1820">
        <v>0.79750987530979378</v>
      </c>
      <c r="U1820">
        <v>0</v>
      </c>
      <c r="V1820">
        <v>9.3057179742132984E-2</v>
      </c>
      <c r="W1820">
        <v>4.9575592970754069E-2</v>
      </c>
      <c r="X1820">
        <v>6.6589880018787084E-3</v>
      </c>
      <c r="Y1820">
        <v>2.3652442654169409E-3</v>
      </c>
    </row>
    <row r="1821" spans="1:25" x14ac:dyDescent="0.25">
      <c r="A1821" s="1096"/>
      <c r="B1821" s="1455">
        <v>1571</v>
      </c>
      <c r="C1821" s="1100">
        <v>1.0201343771524196</v>
      </c>
      <c r="D1821" s="1100">
        <v>1.0008648111401737</v>
      </c>
      <c r="E1821" s="1100">
        <v>0.95285025384922883</v>
      </c>
      <c r="F1821" s="1100">
        <v>1.0357191588744432</v>
      </c>
      <c r="G1821" s="1100">
        <v>1.0061899179828881</v>
      </c>
      <c r="H1821" s="1100">
        <v>0.98151866598991566</v>
      </c>
      <c r="I1821" s="1100">
        <v>0.98477224836017607</v>
      </c>
      <c r="K1821">
        <v>1.1680952693456392</v>
      </c>
      <c r="L1821">
        <v>0</v>
      </c>
      <c r="M1821">
        <v>8.4901530253902525E-4</v>
      </c>
      <c r="N1821">
        <v>6.7735338951567026E-2</v>
      </c>
      <c r="O1821">
        <v>1.0126426517546736E-2</v>
      </c>
      <c r="P1821">
        <v>1.3438945328642047E-2</v>
      </c>
      <c r="Q1821">
        <v>4.1910507784200332E-4</v>
      </c>
      <c r="R1821">
        <v>8.4709953622445614E-4</v>
      </c>
      <c r="S1821">
        <v>6.9530228761297733E-2</v>
      </c>
      <c r="T1821">
        <v>0.86046577666055679</v>
      </c>
      <c r="U1821">
        <v>0</v>
      </c>
      <c r="V1821">
        <v>9.1865581225992726E-2</v>
      </c>
      <c r="W1821">
        <v>4.5786363686076442E-2</v>
      </c>
      <c r="X1821">
        <v>6.4238932111151106E-3</v>
      </c>
      <c r="Y1821">
        <v>2.3055256913159026E-3</v>
      </c>
    </row>
    <row r="1822" spans="1:25" x14ac:dyDescent="0.25">
      <c r="A1822" s="1096"/>
      <c r="B1822" s="1455">
        <v>1572</v>
      </c>
      <c r="C1822" s="1100">
        <v>0.99386265893728032</v>
      </c>
      <c r="D1822" s="1100">
        <v>1.0035725105179865</v>
      </c>
      <c r="E1822" s="1100">
        <v>0.9865897431962567</v>
      </c>
      <c r="F1822" s="1100">
        <v>0.97597405535631288</v>
      </c>
      <c r="G1822" s="1100">
        <v>1.0375316682242985</v>
      </c>
      <c r="H1822" s="1100">
        <v>1.0000257847391887</v>
      </c>
      <c r="I1822" s="1100">
        <v>0.98697851275291804</v>
      </c>
      <c r="K1822">
        <v>1.1292686315471594</v>
      </c>
      <c r="L1822">
        <v>0</v>
      </c>
      <c r="M1822">
        <v>8.2725839063169505E-4</v>
      </c>
      <c r="N1822">
        <v>7.3101676556422357E-2</v>
      </c>
      <c r="O1822">
        <v>1.0393921710319465E-2</v>
      </c>
      <c r="P1822">
        <v>1.3155034412877546E-2</v>
      </c>
      <c r="Q1822">
        <v>4.452717813466314E-4</v>
      </c>
      <c r="R1822">
        <v>8.2542626369208768E-4</v>
      </c>
      <c r="S1822">
        <v>7.2213923042278236E-2</v>
      </c>
      <c r="T1822">
        <v>0.80861780673079398</v>
      </c>
      <c r="U1822">
        <v>0</v>
      </c>
      <c r="V1822">
        <v>9.3851673793384549E-2</v>
      </c>
      <c r="W1822">
        <v>4.8409170466178819E-2</v>
      </c>
      <c r="X1822">
        <v>6.8354469924218871E-3</v>
      </c>
      <c r="Y1822">
        <v>2.2465381880751654E-3</v>
      </c>
    </row>
    <row r="1823" spans="1:25" x14ac:dyDescent="0.25">
      <c r="A1823" s="1096"/>
      <c r="B1823" s="1455">
        <v>1573</v>
      </c>
      <c r="C1823" s="1100">
        <v>1.0102383533763075</v>
      </c>
      <c r="D1823" s="1100">
        <v>0.9895485371120839</v>
      </c>
      <c r="E1823" s="1100">
        <v>1.0059568733869915</v>
      </c>
      <c r="F1823" s="1100">
        <v>0.9895853768246351</v>
      </c>
      <c r="G1823" s="1100">
        <v>0.99777793610564602</v>
      </c>
      <c r="H1823" s="1100">
        <v>0.99352751353649627</v>
      </c>
      <c r="I1823" s="1100">
        <v>1.0374730035363102</v>
      </c>
      <c r="K1823">
        <v>1.1399872652033198</v>
      </c>
      <c r="L1823">
        <v>0</v>
      </c>
      <c r="M1823">
        <v>7.8112432815886045E-4</v>
      </c>
      <c r="N1823">
        <v>7.3184403024781616E-2</v>
      </c>
      <c r="O1823">
        <v>1.028945806493746E-2</v>
      </c>
      <c r="P1823">
        <v>1.3493329684882354E-2</v>
      </c>
      <c r="Q1823">
        <v>4.4947998651347591E-4</v>
      </c>
      <c r="R1823">
        <v>7.7938305925791035E-4</v>
      </c>
      <c r="S1823">
        <v>7.4970315518591138E-2</v>
      </c>
      <c r="T1823">
        <v>0.8186239566412995</v>
      </c>
      <c r="U1823">
        <v>0</v>
      </c>
      <c r="V1823">
        <v>9.1750392446918808E-2</v>
      </c>
      <c r="W1823">
        <v>4.7907662462644947E-2</v>
      </c>
      <c r="X1823">
        <v>7.1987848779059447E-3</v>
      </c>
      <c r="Y1823">
        <v>2.1212237637435977E-3</v>
      </c>
    </row>
    <row r="1824" spans="1:25" x14ac:dyDescent="0.25">
      <c r="A1824" s="1096"/>
      <c r="B1824" s="1455">
        <v>1574</v>
      </c>
      <c r="C1824" s="1100">
        <v>1.0130034753917057</v>
      </c>
      <c r="D1824" s="1100">
        <v>1.0122151444831871</v>
      </c>
      <c r="E1824" s="1100">
        <v>1.0022326076500572</v>
      </c>
      <c r="F1824" s="1100">
        <v>1.001770278943773</v>
      </c>
      <c r="G1824" s="1100">
        <v>1.0007084003717879</v>
      </c>
      <c r="H1824" s="1100">
        <v>1.010350478327624</v>
      </c>
      <c r="I1824" s="1100">
        <v>0.98208427750615435</v>
      </c>
      <c r="K1824">
        <v>1.146188328902513</v>
      </c>
      <c r="L1824">
        <v>0</v>
      </c>
      <c r="M1824">
        <v>7.9113046695433861E-4</v>
      </c>
      <c r="N1824">
        <v>7.329553284833222E-2</v>
      </c>
      <c r="O1824">
        <v>1.0167635030329724E-2</v>
      </c>
      <c r="P1824">
        <v>1.3538187244610733E-2</v>
      </c>
      <c r="Q1824">
        <v>4.4250244962096513E-4</v>
      </c>
      <c r="R1824">
        <v>7.8939625715357203E-4</v>
      </c>
      <c r="S1824">
        <v>7.0611551426722152E-2</v>
      </c>
      <c r="T1824">
        <v>0.82895029277357113</v>
      </c>
      <c r="U1824">
        <v>0</v>
      </c>
      <c r="V1824">
        <v>9.1808151674771202E-2</v>
      </c>
      <c r="W1824">
        <v>4.8086388692068396E-2</v>
      </c>
      <c r="X1824">
        <v>7.1413445847220503E-3</v>
      </c>
      <c r="Y1824">
        <v>2.1484763875657901E-3</v>
      </c>
    </row>
    <row r="1825" spans="1:25" x14ac:dyDescent="0.25">
      <c r="A1825" s="1096"/>
      <c r="B1825" s="1455">
        <v>1575</v>
      </c>
      <c r="C1825" s="1100">
        <v>0.98633674702843566</v>
      </c>
      <c r="D1825" s="1100">
        <v>1.029691414147057</v>
      </c>
      <c r="E1825" s="1100">
        <v>0.99642823041292938</v>
      </c>
      <c r="F1825" s="1100">
        <v>1.0079006597065765</v>
      </c>
      <c r="G1825" s="1100">
        <v>0.96796394074157754</v>
      </c>
      <c r="H1825" s="1100">
        <v>1.0010917995660282</v>
      </c>
      <c r="I1825" s="1100">
        <v>0.9871325426565124</v>
      </c>
      <c r="K1825">
        <v>1.1532124010290521</v>
      </c>
      <c r="L1825">
        <v>0</v>
      </c>
      <c r="M1825">
        <v>8.0926426793977288E-4</v>
      </c>
      <c r="N1825">
        <v>7.3670676175331185E-2</v>
      </c>
      <c r="O1825">
        <v>1.0369367133834297E-2</v>
      </c>
      <c r="P1825">
        <v>1.3560997946203123E-2</v>
      </c>
      <c r="Q1825">
        <v>4.486556858992062E-4</v>
      </c>
      <c r="R1825">
        <v>8.0747390104388985E-4</v>
      </c>
      <c r="S1825">
        <v>7.1877822655469381E-2</v>
      </c>
      <c r="T1825">
        <v>0.8344105336915093</v>
      </c>
      <c r="U1825">
        <v>0</v>
      </c>
      <c r="V1825">
        <v>9.1068707122795745E-2</v>
      </c>
      <c r="W1825">
        <v>4.8499620108789082E-2</v>
      </c>
      <c r="X1825">
        <v>7.1101331011740243E-3</v>
      </c>
      <c r="Y1825">
        <v>2.1976777749415275E-3</v>
      </c>
    </row>
    <row r="1826" spans="1:25" x14ac:dyDescent="0.25">
      <c r="A1826" s="1096"/>
      <c r="B1826" s="1455">
        <v>1576</v>
      </c>
      <c r="C1826" s="1100">
        <v>0.98072181079299081</v>
      </c>
      <c r="D1826" s="1100">
        <v>1.0141602598598118</v>
      </c>
      <c r="E1826" s="1100">
        <v>1.0121231376257172</v>
      </c>
      <c r="F1826" s="1100">
        <v>1.0368235507384909</v>
      </c>
      <c r="G1826" s="1100">
        <v>0.9947033671807094</v>
      </c>
      <c r="H1826" s="1100">
        <v>1.0204689162455263</v>
      </c>
      <c r="I1826" s="1100">
        <v>0.95922767386410257</v>
      </c>
      <c r="K1826">
        <v>1.1833973733285887</v>
      </c>
      <c r="L1826">
        <v>0</v>
      </c>
      <c r="M1826">
        <v>8.0795576313157091E-4</v>
      </c>
      <c r="N1826">
        <v>7.712531285621399E-2</v>
      </c>
      <c r="O1826">
        <v>1.0497539353837286E-2</v>
      </c>
      <c r="P1826">
        <v>1.4048480875623673E-2</v>
      </c>
      <c r="Q1826">
        <v>4.6140659448989804E-4</v>
      </c>
      <c r="R1826">
        <v>8.0620223240429156E-4</v>
      </c>
      <c r="S1826">
        <v>7.1580121933359719E-2</v>
      </c>
      <c r="T1826">
        <v>0.85727983631373716</v>
      </c>
      <c r="U1826">
        <v>0</v>
      </c>
      <c r="V1826">
        <v>9.2358387258977853E-2</v>
      </c>
      <c r="W1826">
        <v>5.0304061461417568E-2</v>
      </c>
      <c r="X1826">
        <v>7.5497634995500777E-3</v>
      </c>
      <c r="Y1826">
        <v>2.1942167121099952E-3</v>
      </c>
    </row>
    <row r="1827" spans="1:25" x14ac:dyDescent="0.25">
      <c r="A1827" s="1096"/>
      <c r="B1827" s="1455">
        <v>1577</v>
      </c>
      <c r="C1827" s="1100">
        <v>1.0147966109744286</v>
      </c>
      <c r="D1827" s="1100">
        <v>0.99344471655593147</v>
      </c>
      <c r="E1827" s="1100">
        <v>1.0339326095587746</v>
      </c>
      <c r="F1827" s="1100">
        <v>0.98094012583518797</v>
      </c>
      <c r="G1827" s="1100">
        <v>1.004557221709097</v>
      </c>
      <c r="H1827" s="1100">
        <v>1.0398469364490011</v>
      </c>
      <c r="I1827" s="1100">
        <v>1.0122699434229583</v>
      </c>
      <c r="K1827">
        <v>1.1387991290860389</v>
      </c>
      <c r="L1827">
        <v>0</v>
      </c>
      <c r="M1827">
        <v>7.6664235701569294E-4</v>
      </c>
      <c r="N1827">
        <v>7.8160549240122668E-2</v>
      </c>
      <c r="O1827">
        <v>1.0236226017497588E-2</v>
      </c>
      <c r="P1827">
        <v>1.3645344768336357E-2</v>
      </c>
      <c r="Q1827">
        <v>4.5976597713211627E-4</v>
      </c>
      <c r="R1827">
        <v>7.6500949693563281E-4</v>
      </c>
      <c r="S1827">
        <v>7.4592195673462147E-2</v>
      </c>
      <c r="T1827">
        <v>0.80967317655790527</v>
      </c>
      <c r="U1827">
        <v>0</v>
      </c>
      <c r="V1827">
        <v>9.1934375841397908E-2</v>
      </c>
      <c r="W1827">
        <v>5.0334450931033635E-2</v>
      </c>
      <c r="X1827">
        <v>7.6825732738841288E-3</v>
      </c>
      <c r="Y1827">
        <v>2.0821036653459035E-3</v>
      </c>
    </row>
    <row r="1828" spans="1:25" x14ac:dyDescent="0.25">
      <c r="A1828" s="1096"/>
      <c r="B1828" s="1455">
        <v>1578</v>
      </c>
      <c r="C1828" s="1100">
        <v>1.0024268593465966</v>
      </c>
      <c r="D1828" s="1100">
        <v>1.0198973513174228</v>
      </c>
      <c r="E1828" s="1100">
        <v>1.028171579643389</v>
      </c>
      <c r="F1828" s="1100">
        <v>1.0265694093295865</v>
      </c>
      <c r="G1828" s="1100">
        <v>0.97731521760521955</v>
      </c>
      <c r="H1828" s="1100">
        <v>0.97234447596265317</v>
      </c>
      <c r="I1828" s="1100">
        <v>0.97877631493837747</v>
      </c>
      <c r="K1828">
        <v>1.1624155146603645</v>
      </c>
      <c r="L1828">
        <v>0</v>
      </c>
      <c r="M1828">
        <v>7.2680708302882014E-4</v>
      </c>
      <c r="N1828">
        <v>7.2812803956122427E-2</v>
      </c>
      <c r="O1828">
        <v>1.025230831514269E-2</v>
      </c>
      <c r="P1828">
        <v>1.4033122502959601E-2</v>
      </c>
      <c r="Q1828">
        <v>4.5787438741881051E-4</v>
      </c>
      <c r="R1828">
        <v>7.2515160059188921E-4</v>
      </c>
      <c r="S1828">
        <v>6.9372446011587152E-2</v>
      </c>
      <c r="T1828">
        <v>0.84772141819151925</v>
      </c>
      <c r="U1828">
        <v>0</v>
      </c>
      <c r="V1828">
        <v>9.1070723234754694E-2</v>
      </c>
      <c r="W1828">
        <v>4.7047508822605361E-2</v>
      </c>
      <c r="X1828">
        <v>7.6753411100398605E-3</v>
      </c>
      <c r="Y1828">
        <v>1.9736236106502325E-3</v>
      </c>
    </row>
    <row r="1829" spans="1:25" x14ac:dyDescent="0.25">
      <c r="A1829" s="1096"/>
      <c r="B1829" s="1455">
        <v>1579</v>
      </c>
      <c r="C1829" s="1100">
        <v>1.0492322728903636</v>
      </c>
      <c r="D1829" s="1100">
        <v>1.0024609630393624</v>
      </c>
      <c r="E1829" s="1100">
        <v>1.0186267830022631</v>
      </c>
      <c r="F1829" s="1100">
        <v>0.95973928596119695</v>
      </c>
      <c r="G1829" s="1100">
        <v>1.003858136139361</v>
      </c>
      <c r="H1829" s="1100">
        <v>0.98076005229295116</v>
      </c>
      <c r="I1829" s="1100">
        <v>0.99047800768482863</v>
      </c>
      <c r="K1829">
        <v>1.1002940097471119</v>
      </c>
      <c r="L1829">
        <v>0</v>
      </c>
      <c r="M1829">
        <v>7.193954684137975E-4</v>
      </c>
      <c r="N1829">
        <v>7.0026528244845537E-2</v>
      </c>
      <c r="O1829">
        <v>9.85977140024576E-3</v>
      </c>
      <c r="P1829">
        <v>1.3162221564810037E-2</v>
      </c>
      <c r="Q1829">
        <v>4.3619255936783294E-4</v>
      </c>
      <c r="R1829">
        <v>7.1777092804572301E-4</v>
      </c>
      <c r="S1829">
        <v>6.7980775345552844E-2</v>
      </c>
      <c r="T1829">
        <v>0.79313390160937014</v>
      </c>
      <c r="U1829">
        <v>0</v>
      </c>
      <c r="V1829">
        <v>9.1100273160089729E-2</v>
      </c>
      <c r="W1829">
        <v>4.5499874753181346E-2</v>
      </c>
      <c r="X1829">
        <v>7.1425597969988468E-3</v>
      </c>
      <c r="Y1829">
        <v>1.9535358530176185E-3</v>
      </c>
    </row>
    <row r="1830" spans="1:25" x14ac:dyDescent="0.25">
      <c r="A1830" s="1096"/>
      <c r="B1830" s="1455">
        <v>1580</v>
      </c>
      <c r="C1830" s="1100">
        <v>1.0473975710201182</v>
      </c>
      <c r="D1830" s="1100">
        <v>1.0005046760421146</v>
      </c>
      <c r="E1830" s="1100">
        <v>0.9563384987504211</v>
      </c>
      <c r="F1830" s="1100">
        <v>1.0350586815956546</v>
      </c>
      <c r="G1830" s="1100">
        <v>1.0301499358416788</v>
      </c>
      <c r="H1830" s="1100">
        <v>1.0157967549011557</v>
      </c>
      <c r="I1830" s="1100">
        <v>1.0004593699300544</v>
      </c>
      <c r="K1830">
        <v>1.1693147633977299</v>
      </c>
      <c r="L1830">
        <v>0</v>
      </c>
      <c r="M1830">
        <v>8.4979170560229493E-4</v>
      </c>
      <c r="N1830">
        <v>6.8523202587929988E-2</v>
      </c>
      <c r="O1830">
        <v>9.8653426166042581E-3</v>
      </c>
      <c r="P1830">
        <v>1.3478358707288522E-2</v>
      </c>
      <c r="Q1830">
        <v>4.0977045480741374E-4</v>
      </c>
      <c r="R1830">
        <v>8.4793889407236791E-4</v>
      </c>
      <c r="S1830">
        <v>7.0146599614955035E-2</v>
      </c>
      <c r="T1830">
        <v>0.85967272440909048</v>
      </c>
      <c r="U1830">
        <v>0</v>
      </c>
      <c r="V1830">
        <v>9.225908348272191E-2</v>
      </c>
      <c r="W1830">
        <v>4.6219484349186629E-2</v>
      </c>
      <c r="X1830">
        <v>6.4342398399912558E-3</v>
      </c>
      <c r="Y1830">
        <v>2.3078101466836786E-3</v>
      </c>
    </row>
    <row r="1831" spans="1:25" x14ac:dyDescent="0.25">
      <c r="A1831" s="1096"/>
      <c r="B1831" s="1455">
        <v>1581</v>
      </c>
      <c r="C1831" s="1100">
        <v>0.98676194778143966</v>
      </c>
      <c r="D1831" s="1100">
        <v>1.0027103823954069</v>
      </c>
      <c r="E1831" s="1100">
        <v>1.0184883926690622</v>
      </c>
      <c r="F1831" s="1100">
        <v>0.99888803531980308</v>
      </c>
      <c r="G1831" s="1100">
        <v>1.0158720577701776</v>
      </c>
      <c r="H1831" s="1100">
        <v>1.013801068861012</v>
      </c>
      <c r="I1831" s="1100">
        <v>1.0008991689157178</v>
      </c>
      <c r="K1831">
        <v>1.1543071652730541</v>
      </c>
      <c r="L1831">
        <v>0</v>
      </c>
      <c r="M1831">
        <v>7.9085839593938606E-4</v>
      </c>
      <c r="N1831">
        <v>7.6956326243804232E-2</v>
      </c>
      <c r="O1831">
        <v>1.0482888605337493E-2</v>
      </c>
      <c r="P1831">
        <v>1.3724663216051885E-2</v>
      </c>
      <c r="Q1831">
        <v>4.6369517873895362E-4</v>
      </c>
      <c r="R1831">
        <v>7.8913068309212234E-4</v>
      </c>
      <c r="S1831">
        <v>7.4397963663063824E-2</v>
      </c>
      <c r="T1831">
        <v>0.82549571532605492</v>
      </c>
      <c r="U1831">
        <v>0</v>
      </c>
      <c r="V1831">
        <v>9.3109537884423499E-2</v>
      </c>
      <c r="W1831">
        <v>5.0006577909976042E-2</v>
      </c>
      <c r="X1831">
        <v>7.5237713759311511E-3</v>
      </c>
      <c r="Y1831">
        <v>2.1477535825169887E-3</v>
      </c>
    </row>
    <row r="1832" spans="1:25" x14ac:dyDescent="0.25">
      <c r="A1832" s="1096"/>
      <c r="B1832" s="1455">
        <v>1582</v>
      </c>
      <c r="C1832" s="1100">
        <v>1.0136974197502144</v>
      </c>
      <c r="D1832" s="1100">
        <v>0.98252376822910614</v>
      </c>
      <c r="E1832" s="1100">
        <v>0.98953194507886644</v>
      </c>
      <c r="F1832" s="1100">
        <v>1.0204098781492763</v>
      </c>
      <c r="G1832" s="1100">
        <v>1.0008611220133807</v>
      </c>
      <c r="H1832" s="1100">
        <v>1.0180300873948374</v>
      </c>
      <c r="I1832" s="1100">
        <v>0.97141960692724527</v>
      </c>
      <c r="K1832">
        <v>1.1643888048149258</v>
      </c>
      <c r="L1832">
        <v>0</v>
      </c>
      <c r="M1832">
        <v>8.2764737702239338E-4</v>
      </c>
      <c r="N1832">
        <v>7.3792528316221073E-2</v>
      </c>
      <c r="O1832">
        <v>1.0278271835305261E-2</v>
      </c>
      <c r="P1832">
        <v>1.3637362385129534E-2</v>
      </c>
      <c r="Q1832">
        <v>4.416301963287042E-4</v>
      </c>
      <c r="R1832">
        <v>8.2584680578923534E-4</v>
      </c>
      <c r="S1832">
        <v>7.1157595654317687E-2</v>
      </c>
      <c r="T1832">
        <v>0.84523402300686634</v>
      </c>
      <c r="U1832">
        <v>0</v>
      </c>
      <c r="V1832">
        <v>9.1796152994990277E-2</v>
      </c>
      <c r="W1832">
        <v>4.8780477714498872E-2</v>
      </c>
      <c r="X1832">
        <v>7.0248805174689798E-3</v>
      </c>
      <c r="Y1832">
        <v>2.2476827650319362E-3</v>
      </c>
    </row>
    <row r="1833" spans="1:25" x14ac:dyDescent="0.25">
      <c r="A1833" s="1096"/>
      <c r="B1833" s="1455">
        <v>1583</v>
      </c>
      <c r="C1833" s="1100">
        <v>0.99085329075556194</v>
      </c>
      <c r="D1833" s="1100">
        <v>0.95962653332502368</v>
      </c>
      <c r="E1833" s="1100">
        <v>0.96745620908735419</v>
      </c>
      <c r="F1833" s="1100">
        <v>1.0053815169694755</v>
      </c>
      <c r="G1833" s="1100">
        <v>0.99055383758784066</v>
      </c>
      <c r="H1833" s="1100">
        <v>1.0058250411537004</v>
      </c>
      <c r="I1833" s="1100">
        <v>1.0041203702390118</v>
      </c>
      <c r="K1833">
        <v>1.1583615362600701</v>
      </c>
      <c r="L1833">
        <v>0</v>
      </c>
      <c r="M1833">
        <v>8.8393891959579222E-4</v>
      </c>
      <c r="N1833">
        <v>7.3716799226065222E-2</v>
      </c>
      <c r="O1833">
        <v>1.0607500325032803E-2</v>
      </c>
      <c r="P1833">
        <v>1.3325307125999199E-2</v>
      </c>
      <c r="Q1833">
        <v>4.4565508961342122E-4</v>
      </c>
      <c r="R1833">
        <v>8.8199254964803212E-4</v>
      </c>
      <c r="S1833">
        <v>7.5626191622951922E-2</v>
      </c>
      <c r="T1833">
        <v>0.83427044125583594</v>
      </c>
      <c r="U1833">
        <v>0</v>
      </c>
      <c r="V1833">
        <v>9.191583085207071E-2</v>
      </c>
      <c r="W1833">
        <v>4.9385131467285549E-2</v>
      </c>
      <c r="X1833">
        <v>6.6701326937846014E-3</v>
      </c>
      <c r="Y1833">
        <v>2.4004929713760926E-3</v>
      </c>
    </row>
    <row r="1834" spans="1:25" x14ac:dyDescent="0.25">
      <c r="A1834" s="1096"/>
      <c r="B1834" s="1455">
        <v>1584</v>
      </c>
      <c r="C1834" s="1100">
        <v>1.0069875488251396</v>
      </c>
      <c r="D1834" s="1100">
        <v>0.97568859975295497</v>
      </c>
      <c r="E1834" s="1100">
        <v>0.95878382874775536</v>
      </c>
      <c r="F1834" s="1100">
        <v>1.004195392949627</v>
      </c>
      <c r="G1834" s="1100">
        <v>0.98816247975275173</v>
      </c>
      <c r="H1834" s="1100">
        <v>0.95961104065939185</v>
      </c>
      <c r="I1834" s="1100">
        <v>0.99474361816600143</v>
      </c>
      <c r="K1834">
        <v>1.1432556897795361</v>
      </c>
      <c r="L1834">
        <v>0</v>
      </c>
      <c r="M1834">
        <v>8.3919623651836106E-4</v>
      </c>
      <c r="N1834">
        <v>6.8163466626699948E-2</v>
      </c>
      <c r="O1834">
        <v>1.0365641543076794E-2</v>
      </c>
      <c r="P1834">
        <v>1.3166015359703194E-2</v>
      </c>
      <c r="Q1834">
        <v>4.3163600568266392E-4</v>
      </c>
      <c r="R1834">
        <v>8.3725939596655059E-4</v>
      </c>
      <c r="S1834">
        <v>7.1208874769833008E-2</v>
      </c>
      <c r="T1834">
        <v>0.83387313800173679</v>
      </c>
      <c r="U1834">
        <v>0</v>
      </c>
      <c r="V1834">
        <v>9.1411922971569484E-2</v>
      </c>
      <c r="W1834">
        <v>4.5907783368661408E-2</v>
      </c>
      <c r="X1834">
        <v>6.4504038997876788E-3</v>
      </c>
      <c r="Y1834">
        <v>2.2787440733352481E-3</v>
      </c>
    </row>
    <row r="1835" spans="1:25" x14ac:dyDescent="0.25">
      <c r="A1835" s="1096"/>
      <c r="B1835" s="1455">
        <v>1585</v>
      </c>
      <c r="C1835" s="1100">
        <v>1.0025244555586668</v>
      </c>
      <c r="D1835" s="1100">
        <v>1.0251399202532538</v>
      </c>
      <c r="E1835" s="1100">
        <v>1.0301848100220552</v>
      </c>
      <c r="F1835" s="1100">
        <v>0.99730459162951235</v>
      </c>
      <c r="G1835" s="1100">
        <v>1.0413081497406285</v>
      </c>
      <c r="H1835" s="1100">
        <v>0.99453733375477271</v>
      </c>
      <c r="I1835" s="1100">
        <v>0.98611695986120096</v>
      </c>
      <c r="K1835">
        <v>1.1444138119769733</v>
      </c>
      <c r="L1835">
        <v>0</v>
      </c>
      <c r="M1835">
        <v>7.3869547396050392E-4</v>
      </c>
      <c r="N1835">
        <v>7.445812085174458E-2</v>
      </c>
      <c r="O1835">
        <v>1.023096153566223E-2</v>
      </c>
      <c r="P1835">
        <v>1.3770070230110492E-2</v>
      </c>
      <c r="Q1835">
        <v>4.5783183169650666E-4</v>
      </c>
      <c r="R1835">
        <v>7.3705045872227485E-4</v>
      </c>
      <c r="S1835">
        <v>7.058384055712652E-2</v>
      </c>
      <c r="T1835">
        <v>0.82342406301252469</v>
      </c>
      <c r="U1835">
        <v>0</v>
      </c>
      <c r="V1835">
        <v>9.3803365706900829E-2</v>
      </c>
      <c r="W1835">
        <v>4.805439242095693E-2</v>
      </c>
      <c r="X1835">
        <v>7.6268024654649082E-3</v>
      </c>
      <c r="Y1835">
        <v>2.0060083800236134E-3</v>
      </c>
    </row>
    <row r="1836" spans="1:25" x14ac:dyDescent="0.25">
      <c r="A1836" s="1096"/>
      <c r="B1836" s="1455">
        <v>1586</v>
      </c>
      <c r="C1836" s="1100">
        <v>1.0034757370037231</v>
      </c>
      <c r="D1836" s="1100">
        <v>0.98586369832238874</v>
      </c>
      <c r="E1836" s="1100">
        <v>1.0309532645272523</v>
      </c>
      <c r="F1836" s="1100">
        <v>0.98305740644335271</v>
      </c>
      <c r="G1836" s="1100">
        <v>0.96861216285787122</v>
      </c>
      <c r="H1836" s="1100">
        <v>0.97787944685191441</v>
      </c>
      <c r="I1836" s="1100">
        <v>1.0460375739182977</v>
      </c>
      <c r="K1836">
        <v>1.1342991962631552</v>
      </c>
      <c r="L1836">
        <v>0</v>
      </c>
      <c r="M1836">
        <v>7.3588302171492923E-4</v>
      </c>
      <c r="N1836">
        <v>7.4343830256799512E-2</v>
      </c>
      <c r="O1836">
        <v>1.0382493130731023E-2</v>
      </c>
      <c r="P1836">
        <v>1.3639490807786994E-2</v>
      </c>
      <c r="Q1836">
        <v>4.6496583701564762E-4</v>
      </c>
      <c r="R1836">
        <v>7.3421635392350801E-4</v>
      </c>
      <c r="S1836">
        <v>7.5607782461463963E-2</v>
      </c>
      <c r="T1836">
        <v>0.81161161638921864</v>
      </c>
      <c r="U1836">
        <v>0</v>
      </c>
      <c r="V1836">
        <v>9.0673473499887206E-2</v>
      </c>
      <c r="W1836">
        <v>4.7959242263484268E-2</v>
      </c>
      <c r="X1836">
        <v>7.6196734035345022E-3</v>
      </c>
      <c r="Y1836">
        <v>1.9982948810237655E-3</v>
      </c>
    </row>
    <row r="1837" spans="1:25" x14ac:dyDescent="0.25">
      <c r="A1837" s="1096"/>
      <c r="B1837" s="1455">
        <v>1587</v>
      </c>
      <c r="C1837" s="1100">
        <v>0.99653888300409299</v>
      </c>
      <c r="D1837" s="1100">
        <v>0.98619276157450364</v>
      </c>
      <c r="E1837" s="1100">
        <v>0.96698566625669702</v>
      </c>
      <c r="F1837" s="1100">
        <v>0.98206592561357142</v>
      </c>
      <c r="G1837" s="1100">
        <v>0.96438996674566024</v>
      </c>
      <c r="H1837" s="1100">
        <v>0.99422848864198998</v>
      </c>
      <c r="I1837" s="1100">
        <v>0.96617020641163709</v>
      </c>
      <c r="K1837">
        <v>1.1288216420790187</v>
      </c>
      <c r="L1837">
        <v>0</v>
      </c>
      <c r="M1837">
        <v>8.6015949794508175E-4</v>
      </c>
      <c r="N1837">
        <v>7.1629700659991913E-2</v>
      </c>
      <c r="O1837">
        <v>1.0432247959295541E-2</v>
      </c>
      <c r="P1837">
        <v>1.2983794161632535E-2</v>
      </c>
      <c r="Q1837">
        <v>4.3808111140582304E-4</v>
      </c>
      <c r="R1837">
        <v>8.5824339709375248E-4</v>
      </c>
      <c r="S1837">
        <v>7.0884631091481007E-2</v>
      </c>
      <c r="T1837">
        <v>0.81495413432218289</v>
      </c>
      <c r="U1837">
        <v>0</v>
      </c>
      <c r="V1837">
        <v>9.0653985658582015E-2</v>
      </c>
      <c r="W1837">
        <v>4.8000695730359304E-2</v>
      </c>
      <c r="X1837">
        <v>6.5104318779092901E-3</v>
      </c>
      <c r="Y1837">
        <v>2.3358556070293785E-3</v>
      </c>
    </row>
    <row r="1838" spans="1:25" x14ac:dyDescent="0.25">
      <c r="A1838" s="1096"/>
      <c r="B1838" s="1455">
        <v>1588</v>
      </c>
      <c r="C1838" s="1100">
        <v>1.0483293441092612</v>
      </c>
      <c r="D1838" s="1100">
        <v>0.9829783106221549</v>
      </c>
      <c r="E1838" s="1100">
        <v>0.96507280174841115</v>
      </c>
      <c r="F1838" s="1100">
        <v>1.0427247596812939</v>
      </c>
      <c r="G1838" s="1100">
        <v>0.96647756026180198</v>
      </c>
      <c r="H1838" s="1100">
        <v>0.97063571188572262</v>
      </c>
      <c r="I1838" s="1100">
        <v>1.0015597979156883</v>
      </c>
      <c r="K1838">
        <v>1.1677081887839582</v>
      </c>
      <c r="L1838">
        <v>0</v>
      </c>
      <c r="M1838">
        <v>8.0246601268292215E-4</v>
      </c>
      <c r="N1838">
        <v>6.6435634026059023E-2</v>
      </c>
      <c r="O1838">
        <v>9.9292261562691168E-3</v>
      </c>
      <c r="P1838">
        <v>1.3595034231682112E-2</v>
      </c>
      <c r="Q1838">
        <v>4.1614152961910115E-4</v>
      </c>
      <c r="R1838">
        <v>8.006349805768357E-4</v>
      </c>
      <c r="S1838">
        <v>6.9043250112003962E-2</v>
      </c>
      <c r="T1838">
        <v>0.86542529087027598</v>
      </c>
      <c r="U1838">
        <v>0</v>
      </c>
      <c r="V1838">
        <v>8.951509536230326E-2</v>
      </c>
      <c r="W1838">
        <v>4.4572059087422594E-2</v>
      </c>
      <c r="X1838">
        <v>6.5992239525483358E-3</v>
      </c>
      <c r="Y1838">
        <v>2.1790644878797319E-3</v>
      </c>
    </row>
    <row r="1839" spans="1:25" x14ac:dyDescent="0.25">
      <c r="A1839" s="1096"/>
      <c r="B1839" s="1455">
        <v>1589</v>
      </c>
      <c r="C1839" s="1100">
        <v>0.98834094910216075</v>
      </c>
      <c r="D1839" s="1100">
        <v>0.97349494878992204</v>
      </c>
      <c r="E1839" s="1100">
        <v>0.96395168496482253</v>
      </c>
      <c r="F1839" s="1100">
        <v>0.97283987885474599</v>
      </c>
      <c r="G1839" s="1100">
        <v>1.0103255074704953</v>
      </c>
      <c r="H1839" s="1100">
        <v>0.98805996155146736</v>
      </c>
      <c r="I1839" s="1100">
        <v>0.9752336492238376</v>
      </c>
      <c r="K1839">
        <v>1.1256764521655798</v>
      </c>
      <c r="L1839">
        <v>0</v>
      </c>
      <c r="M1839">
        <v>8.7183240727789274E-4</v>
      </c>
      <c r="N1839">
        <v>7.1936632080870561E-2</v>
      </c>
      <c r="O1839">
        <v>1.0572437412323192E-2</v>
      </c>
      <c r="P1839">
        <v>1.29031294129566E-2</v>
      </c>
      <c r="Q1839">
        <v>4.4259001160805472E-4</v>
      </c>
      <c r="R1839">
        <v>8.6987817903646332E-4</v>
      </c>
      <c r="S1839">
        <v>7.2371755055707809E-2</v>
      </c>
      <c r="T1839">
        <v>0.80749672910048009</v>
      </c>
      <c r="U1839">
        <v>0</v>
      </c>
      <c r="V1839">
        <v>9.2824683426504628E-2</v>
      </c>
      <c r="W1839">
        <v>4.8295798425355793E-2</v>
      </c>
      <c r="X1839">
        <v>6.4671298199401152E-3</v>
      </c>
      <c r="Y1839">
        <v>2.3675216480726004E-3</v>
      </c>
    </row>
    <row r="1840" spans="1:25" x14ac:dyDescent="0.25">
      <c r="A1840" s="1096"/>
      <c r="B1840" s="1455">
        <v>1590</v>
      </c>
      <c r="C1840" s="1100">
        <v>0.98824429573832262</v>
      </c>
      <c r="D1840" s="1100">
        <v>1.00337603236288</v>
      </c>
      <c r="E1840" s="1100">
        <v>0.98127687829883581</v>
      </c>
      <c r="F1840" s="1100">
        <v>0.98067711462720097</v>
      </c>
      <c r="G1840" s="1100">
        <v>1.0309421009781927</v>
      </c>
      <c r="H1840" s="1100">
        <v>1.0280091927077404</v>
      </c>
      <c r="I1840" s="1100">
        <v>0.96934489709032345</v>
      </c>
      <c r="K1840">
        <v>1.1373647279152905</v>
      </c>
      <c r="L1840">
        <v>0</v>
      </c>
      <c r="M1840">
        <v>8.6476308161453084E-4</v>
      </c>
      <c r="N1840">
        <v>7.5202158324180465E-2</v>
      </c>
      <c r="O1840">
        <v>1.0452079201893137E-2</v>
      </c>
      <c r="P1840">
        <v>1.3160412767089834E-2</v>
      </c>
      <c r="Q1840">
        <v>4.4535708254003016E-4</v>
      </c>
      <c r="R1840">
        <v>8.6290002642554285E-4</v>
      </c>
      <c r="S1840">
        <v>7.2442868012111403E-2</v>
      </c>
      <c r="T1840">
        <v>0.81286205372276332</v>
      </c>
      <c r="U1840">
        <v>0</v>
      </c>
      <c r="V1840">
        <v>9.3710983466192999E-2</v>
      </c>
      <c r="W1840">
        <v>4.9959663555076257E-2</v>
      </c>
      <c r="X1840">
        <v>6.7824854216183795E-3</v>
      </c>
      <c r="Y1840">
        <v>2.3485294170130662E-3</v>
      </c>
    </row>
    <row r="1841" spans="1:25" x14ac:dyDescent="0.25">
      <c r="A1841" s="1096"/>
      <c r="B1841" s="1455">
        <v>1591</v>
      </c>
      <c r="C1841" s="1100">
        <v>1.0097934140079314</v>
      </c>
      <c r="D1841" s="1100">
        <v>1.0032324592784327</v>
      </c>
      <c r="E1841" s="1100">
        <v>1.0151269867830073</v>
      </c>
      <c r="F1841" s="1100">
        <v>0.97875660012876275</v>
      </c>
      <c r="G1841" s="1100">
        <v>1.0118923876701784</v>
      </c>
      <c r="H1841" s="1100">
        <v>0.98091036410573496</v>
      </c>
      <c r="I1841" s="1100">
        <v>0.97479944636678706</v>
      </c>
      <c r="K1841">
        <v>1.1240482955969231</v>
      </c>
      <c r="L1841">
        <v>0</v>
      </c>
      <c r="M1841">
        <v>7.528365780506823E-4</v>
      </c>
      <c r="N1841">
        <v>7.2511914685521081E-2</v>
      </c>
      <c r="O1841">
        <v>1.0240570287232919E-2</v>
      </c>
      <c r="P1841">
        <v>1.3386441875754437E-2</v>
      </c>
      <c r="Q1841">
        <v>4.5146273396305003E-4</v>
      </c>
      <c r="R1841">
        <v>7.5113678140985502E-4</v>
      </c>
      <c r="S1841">
        <v>6.9492198609535524E-2</v>
      </c>
      <c r="T1841">
        <v>0.80907482389512442</v>
      </c>
      <c r="U1841">
        <v>0</v>
      </c>
      <c r="V1841">
        <v>9.2365928042209361E-2</v>
      </c>
      <c r="W1841">
        <v>4.7211566718242122E-2</v>
      </c>
      <c r="X1841">
        <v>7.2707418391570258E-3</v>
      </c>
      <c r="Y1841">
        <v>2.0443467068241806E-3</v>
      </c>
    </row>
    <row r="1842" spans="1:25" x14ac:dyDescent="0.25">
      <c r="A1842" s="1096"/>
      <c r="B1842" s="1455">
        <v>1592</v>
      </c>
      <c r="C1842" s="1100">
        <v>1.0129660819019832</v>
      </c>
      <c r="D1842" s="1100">
        <v>1.0141705391586788</v>
      </c>
      <c r="E1842" s="1100">
        <v>1.0061957474133589</v>
      </c>
      <c r="F1842" s="1100">
        <v>1.009459232893462</v>
      </c>
      <c r="G1842" s="1100">
        <v>0.99036682437083001</v>
      </c>
      <c r="H1842" s="1100">
        <v>1.0047874036318036</v>
      </c>
      <c r="I1842" s="1100">
        <v>0.98698922509207354</v>
      </c>
      <c r="K1842">
        <v>1.1516730189709381</v>
      </c>
      <c r="L1842">
        <v>0</v>
      </c>
      <c r="M1842">
        <v>7.7975549936765782E-4</v>
      </c>
      <c r="N1842">
        <v>7.3110705716807375E-2</v>
      </c>
      <c r="O1842">
        <v>1.0161438142511754E-2</v>
      </c>
      <c r="P1842">
        <v>1.3656600267826658E-2</v>
      </c>
      <c r="Q1842">
        <v>4.4399386025390105E-4</v>
      </c>
      <c r="R1842">
        <v>7.7803676072135707E-4</v>
      </c>
      <c r="S1842">
        <v>7.0681927904933259E-2</v>
      </c>
      <c r="T1842">
        <v>0.83504847554698625</v>
      </c>
      <c r="U1842">
        <v>0</v>
      </c>
      <c r="V1842">
        <v>9.1367543170587831E-2</v>
      </c>
      <c r="W1842">
        <v>4.7852657244232814E-2</v>
      </c>
      <c r="X1842">
        <v>7.2338362725096125E-3</v>
      </c>
      <c r="Y1842">
        <v>2.117559582934293E-3</v>
      </c>
    </row>
    <row r="1843" spans="1:25" x14ac:dyDescent="0.25">
      <c r="A1843" s="1096"/>
      <c r="B1843" s="1455">
        <v>1593</v>
      </c>
      <c r="C1843" s="1100">
        <v>1.0110262162072665</v>
      </c>
      <c r="D1843" s="1100">
        <v>0.97214210478551522</v>
      </c>
      <c r="E1843" s="1100">
        <v>0.97172477161772908</v>
      </c>
      <c r="F1843" s="1100">
        <v>1.0286347905011115</v>
      </c>
      <c r="G1843" s="1100">
        <v>1.0159676894030143</v>
      </c>
      <c r="H1843" s="1100">
        <v>1.0076449013729167</v>
      </c>
      <c r="I1843" s="1100">
        <v>1.0007507112515279</v>
      </c>
      <c r="K1843">
        <v>1.1733201200258256</v>
      </c>
      <c r="L1843">
        <v>0</v>
      </c>
      <c r="M1843">
        <v>8.5580808993904276E-4</v>
      </c>
      <c r="N1843">
        <v>7.2299557441840662E-2</v>
      </c>
      <c r="O1843">
        <v>1.0343496783900797E-2</v>
      </c>
      <c r="P1843">
        <v>1.3601447653308707E-2</v>
      </c>
      <c r="Q1843">
        <v>4.3646394482981139E-4</v>
      </c>
      <c r="R1843">
        <v>8.539270654325051E-4</v>
      </c>
      <c r="S1843">
        <v>7.3457359454150786E-2</v>
      </c>
      <c r="T1843">
        <v>0.85327110928640404</v>
      </c>
      <c r="U1843">
        <v>0</v>
      </c>
      <c r="V1843">
        <v>9.2504574179807383E-2</v>
      </c>
      <c r="W1843">
        <v>4.8309965037308229E-2</v>
      </c>
      <c r="X1843">
        <v>6.7739192936565598E-3</v>
      </c>
      <c r="Y1843">
        <v>2.3241079751258132E-3</v>
      </c>
    </row>
    <row r="1844" spans="1:25" x14ac:dyDescent="0.25">
      <c r="A1844" s="1096"/>
      <c r="B1844" s="1455">
        <v>1594</v>
      </c>
      <c r="C1844" s="1100">
        <v>1.0419120468397165</v>
      </c>
      <c r="D1844" s="1100">
        <v>1.0006206805462052</v>
      </c>
      <c r="E1844" s="1100">
        <v>1.0291957943556844</v>
      </c>
      <c r="F1844" s="1100">
        <v>0.96605580213304509</v>
      </c>
      <c r="G1844" s="1100">
        <v>1.0373467899491529</v>
      </c>
      <c r="H1844" s="1100">
        <v>1.040954185876575</v>
      </c>
      <c r="I1844" s="1100">
        <v>1.0374839029458687</v>
      </c>
      <c r="K1844">
        <v>1.1224406376387541</v>
      </c>
      <c r="L1844">
        <v>0</v>
      </c>
      <c r="M1844">
        <v>7.5273193292853041E-4</v>
      </c>
      <c r="N1844">
        <v>7.5654598758513755E-2</v>
      </c>
      <c r="O1844">
        <v>9.9396754633171401E-3</v>
      </c>
      <c r="P1844">
        <v>1.343708777373563E-2</v>
      </c>
      <c r="Q1844">
        <v>4.4436208623310715E-4</v>
      </c>
      <c r="R1844">
        <v>7.5113040579003441E-4</v>
      </c>
      <c r="S1844">
        <v>7.422642275039934E-2</v>
      </c>
      <c r="T1844">
        <v>0.79768585035664963</v>
      </c>
      <c r="U1844">
        <v>0</v>
      </c>
      <c r="V1844">
        <v>9.2698980046968568E-2</v>
      </c>
      <c r="W1844">
        <v>4.8854631325104828E-2</v>
      </c>
      <c r="X1844">
        <v>7.4563012504801204E-3</v>
      </c>
      <c r="Y1844">
        <v>2.0443293544887518E-3</v>
      </c>
    </row>
    <row r="1845" spans="1:25" x14ac:dyDescent="0.25">
      <c r="A1845" s="1096"/>
      <c r="B1845" s="1455">
        <v>1595</v>
      </c>
      <c r="C1845" s="1100">
        <v>0.98723374229257854</v>
      </c>
      <c r="D1845" s="1100">
        <v>0.99056246731776376</v>
      </c>
      <c r="E1845" s="1100">
        <v>1.0224935884594595</v>
      </c>
      <c r="F1845" s="1100">
        <v>1.0288909619281688</v>
      </c>
      <c r="G1845" s="1100">
        <v>0.98511956680488977</v>
      </c>
      <c r="H1845" s="1100">
        <v>0.98933346216645057</v>
      </c>
      <c r="I1845" s="1100">
        <v>1.0170018896862385</v>
      </c>
      <c r="K1845">
        <v>1.1764856978271234</v>
      </c>
      <c r="L1845">
        <v>0</v>
      </c>
      <c r="M1845">
        <v>7.6873932754424428E-4</v>
      </c>
      <c r="N1845">
        <v>7.5709170772644871E-2</v>
      </c>
      <c r="O1845">
        <v>1.0530426904928464E-2</v>
      </c>
      <c r="P1845">
        <v>1.4095005349463429E-2</v>
      </c>
      <c r="Q1845">
        <v>4.6765584733740731E-4</v>
      </c>
      <c r="R1845">
        <v>7.6701840240447645E-4</v>
      </c>
      <c r="S1845">
        <v>7.5007519910965451E-2</v>
      </c>
      <c r="T1845">
        <v>0.85002048623421711</v>
      </c>
      <c r="U1845">
        <v>0</v>
      </c>
      <c r="V1845">
        <v>9.1783848444290758E-2</v>
      </c>
      <c r="W1845">
        <v>4.9081070756556981E-2</v>
      </c>
      <c r="X1845">
        <v>7.7046632880629923E-3</v>
      </c>
      <c r="Y1845">
        <v>2.0875712437965865E-3</v>
      </c>
    </row>
    <row r="1846" spans="1:25" x14ac:dyDescent="0.25">
      <c r="A1846" s="1096"/>
      <c r="B1846" s="1455">
        <v>1596</v>
      </c>
      <c r="C1846" s="1100">
        <v>1.0319700170292918</v>
      </c>
      <c r="D1846" s="1100">
        <v>0.98371612400004271</v>
      </c>
      <c r="E1846" s="1100">
        <v>0.98163402039933978</v>
      </c>
      <c r="F1846" s="1100">
        <v>0.95755755211272398</v>
      </c>
      <c r="G1846" s="1100">
        <v>0.99769227534157423</v>
      </c>
      <c r="H1846" s="1100">
        <v>1.0372459376807199</v>
      </c>
      <c r="I1846" s="1100">
        <v>1.0224415922053802</v>
      </c>
      <c r="K1846">
        <v>1.1134478587562444</v>
      </c>
      <c r="L1846">
        <v>0</v>
      </c>
      <c r="M1846">
        <v>8.4158095108081282E-4</v>
      </c>
      <c r="N1846">
        <v>7.3266704173801198E-2</v>
      </c>
      <c r="O1846">
        <v>1.0088866968356817E-2</v>
      </c>
      <c r="P1846">
        <v>1.2897528023968386E-2</v>
      </c>
      <c r="Q1846">
        <v>4.3003676626254399E-4</v>
      </c>
      <c r="R1846">
        <v>8.397839856101074E-4</v>
      </c>
      <c r="S1846">
        <v>7.4293235180262859E-2</v>
      </c>
      <c r="T1846">
        <v>0.79367590205558702</v>
      </c>
      <c r="U1846">
        <v>0</v>
      </c>
      <c r="V1846">
        <v>9.1226833646747552E-2</v>
      </c>
      <c r="W1846">
        <v>4.8663384178273157E-2</v>
      </c>
      <c r="X1846">
        <v>6.621549554341008E-3</v>
      </c>
      <c r="Y1846">
        <v>2.2856151741142573E-3</v>
      </c>
    </row>
    <row r="1847" spans="1:25" x14ac:dyDescent="0.25">
      <c r="A1847" s="1096"/>
      <c r="B1847" s="1455">
        <v>1597</v>
      </c>
      <c r="C1847" s="1100">
        <v>1.0116162221228349</v>
      </c>
      <c r="D1847" s="1100">
        <v>1.0187118492844744</v>
      </c>
      <c r="E1847" s="1100">
        <v>1.0317643864831161</v>
      </c>
      <c r="F1847" s="1100">
        <v>0.97766131392309208</v>
      </c>
      <c r="G1847" s="1100">
        <v>0.98656770121984072</v>
      </c>
      <c r="H1847" s="1100">
        <v>1.0010960097285051</v>
      </c>
      <c r="I1847" s="1100">
        <v>1.0031869830788533</v>
      </c>
      <c r="K1847">
        <v>1.1263723235423984</v>
      </c>
      <c r="L1847">
        <v>0</v>
      </c>
      <c r="M1847">
        <v>7.3631271605935388E-4</v>
      </c>
      <c r="N1847">
        <v>7.4573261531435217E-2</v>
      </c>
      <c r="O1847">
        <v>1.0165064357792762E-2</v>
      </c>
      <c r="P1847">
        <v>1.353736639666314E-2</v>
      </c>
      <c r="Q1847">
        <v>4.5559353054918083E-4</v>
      </c>
      <c r="R1847">
        <v>7.3468374957705491E-4</v>
      </c>
      <c r="S1847">
        <v>7.1654980163486467E-2</v>
      </c>
      <c r="T1847">
        <v>0.80710491101558057</v>
      </c>
      <c r="U1847">
        <v>0</v>
      </c>
      <c r="V1847">
        <v>9.1242085065633735E-2</v>
      </c>
      <c r="W1847">
        <v>4.8084627297181666E-2</v>
      </c>
      <c r="X1847">
        <v>7.5564961726413277E-3</v>
      </c>
      <c r="Y1847">
        <v>1.9995669779157847E-3</v>
      </c>
    </row>
    <row r="1848" spans="1:25" x14ac:dyDescent="0.25">
      <c r="A1848" s="1096"/>
      <c r="B1848" s="1455">
        <v>1598</v>
      </c>
      <c r="C1848" s="1100">
        <v>1.0077986392319014</v>
      </c>
      <c r="D1848" s="1100">
        <v>1.0291594241578621</v>
      </c>
      <c r="E1848" s="1100">
        <v>0.99329795270769239</v>
      </c>
      <c r="F1848" s="1100">
        <v>1.0041168141469028</v>
      </c>
      <c r="G1848" s="1100">
        <v>1.0182439141535418</v>
      </c>
      <c r="H1848" s="1100">
        <v>1.0427173964170711</v>
      </c>
      <c r="I1848" s="1100">
        <v>0.99009599973827156</v>
      </c>
      <c r="K1848">
        <v>1.1540613391800882</v>
      </c>
      <c r="L1848">
        <v>0</v>
      </c>
      <c r="M1848">
        <v>8.3050449349476179E-4</v>
      </c>
      <c r="N1848">
        <v>7.4898985920654707E-2</v>
      </c>
      <c r="O1848">
        <v>1.0149636901040086E-2</v>
      </c>
      <c r="P1848">
        <v>1.3516058329658631E-2</v>
      </c>
      <c r="Q1848">
        <v>4.3776499765608501E-4</v>
      </c>
      <c r="R1848">
        <v>8.2874048389108574E-4</v>
      </c>
      <c r="S1848">
        <v>7.221797766646354E-2</v>
      </c>
      <c r="T1848">
        <v>0.83148661746276065</v>
      </c>
      <c r="U1848">
        <v>0</v>
      </c>
      <c r="V1848">
        <v>9.2682995663504728E-2</v>
      </c>
      <c r="W1848">
        <v>4.9400448739694035E-2</v>
      </c>
      <c r="X1848">
        <v>7.0170591053343064E-3</v>
      </c>
      <c r="Y1848">
        <v>2.2555584029244433E-3</v>
      </c>
    </row>
    <row r="1849" spans="1:25" x14ac:dyDescent="0.25">
      <c r="A1849" s="1096"/>
      <c r="B1849" s="1455">
        <v>1599</v>
      </c>
      <c r="C1849" s="1100">
        <v>0.99089899157521111</v>
      </c>
      <c r="D1849" s="1100">
        <v>1.0361822488220036</v>
      </c>
      <c r="E1849" s="1100">
        <v>1.0239029668065023</v>
      </c>
      <c r="F1849" s="1100">
        <v>0.96414078107730283</v>
      </c>
      <c r="G1849" s="1100">
        <v>0.95954920519101428</v>
      </c>
      <c r="H1849" s="1100">
        <v>1.0064893578920977</v>
      </c>
      <c r="I1849" s="1100">
        <v>1.0045509527352885</v>
      </c>
      <c r="K1849">
        <v>1.1177813375205654</v>
      </c>
      <c r="L1849">
        <v>0</v>
      </c>
      <c r="M1849">
        <v>7.6302773563410615E-4</v>
      </c>
      <c r="N1849">
        <v>7.5469664460218175E-2</v>
      </c>
      <c r="O1849">
        <v>1.0304674587198999E-2</v>
      </c>
      <c r="P1849">
        <v>1.3319403196094036E-2</v>
      </c>
      <c r="Q1849">
        <v>4.5827071339402949E-4</v>
      </c>
      <c r="R1849">
        <v>7.6134871236381194E-4</v>
      </c>
      <c r="S1849">
        <v>7.2827071727139869E-2</v>
      </c>
      <c r="T1849">
        <v>0.79643804467957957</v>
      </c>
      <c r="U1849">
        <v>0</v>
      </c>
      <c r="V1849">
        <v>9.0598388443994496E-2</v>
      </c>
      <c r="W1849">
        <v>4.8885578078832502E-2</v>
      </c>
      <c r="X1849">
        <v>7.4097804408645622E-3</v>
      </c>
      <c r="Y1849">
        <v>2.0721402165187171E-3</v>
      </c>
    </row>
    <row r="1850" spans="1:25" x14ac:dyDescent="0.25">
      <c r="A1850" s="1096"/>
      <c r="B1850" s="1455">
        <v>1600</v>
      </c>
      <c r="C1850" s="1100">
        <v>1.0023480737366692</v>
      </c>
      <c r="D1850" s="1100">
        <v>0.9781125219145721</v>
      </c>
      <c r="E1850" s="1100">
        <v>1.0105543891691569</v>
      </c>
      <c r="F1850" s="1100">
        <v>0.98751286635267466</v>
      </c>
      <c r="G1850" s="1100">
        <v>0.98017123215954227</v>
      </c>
      <c r="H1850" s="1100">
        <v>1.007811581531763</v>
      </c>
      <c r="I1850" s="1100">
        <v>1.0043258736031488</v>
      </c>
      <c r="K1850">
        <v>1.1405997877139396</v>
      </c>
      <c r="L1850">
        <v>0</v>
      </c>
      <c r="M1850">
        <v>7.9468903460750242E-4</v>
      </c>
      <c r="N1850">
        <v>7.5498456819784523E-2</v>
      </c>
      <c r="O1850">
        <v>1.0420302262513228E-2</v>
      </c>
      <c r="P1850">
        <v>1.3493148719136504E-2</v>
      </c>
      <c r="Q1850">
        <v>4.5729457873432545E-4</v>
      </c>
      <c r="R1850">
        <v>7.9294263568985626E-4</v>
      </c>
      <c r="S1850">
        <v>7.4177832098024213E-2</v>
      </c>
      <c r="T1850">
        <v>0.81661013212136491</v>
      </c>
      <c r="U1850">
        <v>0</v>
      </c>
      <c r="V1850">
        <v>9.1191614390233267E-2</v>
      </c>
      <c r="W1850">
        <v>4.9288489493149928E-2</v>
      </c>
      <c r="X1850">
        <v>7.3061351690380501E-3</v>
      </c>
      <c r="Y1850">
        <v>2.1581284608781855E-3</v>
      </c>
    </row>
    <row r="1851" spans="1:25" x14ac:dyDescent="0.25">
      <c r="A1851" s="1096"/>
      <c r="B1851" s="1455">
        <v>1601</v>
      </c>
      <c r="C1851" s="1100">
        <v>0.98755891480583857</v>
      </c>
      <c r="D1851" s="1100">
        <v>1.0036838712824017</v>
      </c>
      <c r="E1851" s="1100">
        <v>1.0014238302445928</v>
      </c>
      <c r="F1851" s="1100">
        <v>1.0294379703434848</v>
      </c>
      <c r="G1851" s="1100">
        <v>1.0017332435442665</v>
      </c>
      <c r="H1851" s="1100">
        <v>1.0077970229053643</v>
      </c>
      <c r="I1851" s="1100">
        <v>0.99318027574200707</v>
      </c>
      <c r="K1851">
        <v>1.1767289807066892</v>
      </c>
      <c r="L1851">
        <v>0</v>
      </c>
      <c r="M1851">
        <v>8.1357239970791687E-4</v>
      </c>
      <c r="N1851">
        <v>7.5190354776057899E-2</v>
      </c>
      <c r="O1851">
        <v>1.0464707975640752E-2</v>
      </c>
      <c r="P1851">
        <v>1.3891337026256542E-2</v>
      </c>
      <c r="Q1851">
        <v>4.5506154220596723E-4</v>
      </c>
      <c r="R1851">
        <v>8.1178447710979109E-4</v>
      </c>
      <c r="S1851">
        <v>7.3462351236284223E-2</v>
      </c>
      <c r="T1851">
        <v>0.85189997566991182</v>
      </c>
      <c r="U1851">
        <v>0</v>
      </c>
      <c r="V1851">
        <v>9.2482200406094964E-2</v>
      </c>
      <c r="W1851">
        <v>4.9353192543461585E-2</v>
      </c>
      <c r="X1851">
        <v>7.3221777113621463E-3</v>
      </c>
      <c r="Y1851">
        <v>2.2094097420118923E-3</v>
      </c>
    </row>
    <row r="1852" spans="1:25" x14ac:dyDescent="0.25">
      <c r="A1852" s="1096"/>
      <c r="B1852" s="1455">
        <v>1602</v>
      </c>
      <c r="C1852" s="1100">
        <v>0.97856064658059327</v>
      </c>
      <c r="D1852" s="1100">
        <v>0.99909977394009841</v>
      </c>
      <c r="E1852" s="1100">
        <v>0.99904749184375652</v>
      </c>
      <c r="F1852" s="1100">
        <v>1.022417613239311</v>
      </c>
      <c r="G1852" s="1100">
        <v>0.99735654454188771</v>
      </c>
      <c r="H1852" s="1100">
        <v>1.031693763883607</v>
      </c>
      <c r="I1852" s="1100">
        <v>0.99995358197573037</v>
      </c>
      <c r="K1852">
        <v>1.1777405037066648</v>
      </c>
      <c r="L1852">
        <v>0</v>
      </c>
      <c r="M1852">
        <v>8.4622386382080601E-4</v>
      </c>
      <c r="N1852">
        <v>7.7652495578223124E-2</v>
      </c>
      <c r="O1852">
        <v>1.0579495920343115E-2</v>
      </c>
      <c r="P1852">
        <v>1.3822371385119105E-2</v>
      </c>
      <c r="Q1852">
        <v>4.5895568694194239E-4</v>
      </c>
      <c r="R1852">
        <v>8.4440726076301647E-4</v>
      </c>
      <c r="S1852">
        <v>7.5809838977322908E-2</v>
      </c>
      <c r="T1852">
        <v>0.84625119020521145</v>
      </c>
      <c r="U1852">
        <v>0</v>
      </c>
      <c r="V1852">
        <v>9.2525471239005425E-2</v>
      </c>
      <c r="W1852">
        <v>5.1041308969554715E-2</v>
      </c>
      <c r="X1852">
        <v>7.3029941429812815E-3</v>
      </c>
      <c r="Y1852">
        <v>2.2981982050182316E-3</v>
      </c>
    </row>
    <row r="1853" spans="1:25" x14ac:dyDescent="0.25">
      <c r="A1853" s="1096"/>
      <c r="B1853" s="1455">
        <v>1603</v>
      </c>
      <c r="C1853" s="1100">
        <v>0.97860177139356352</v>
      </c>
      <c r="D1853" s="1100">
        <v>0.98027964679037638</v>
      </c>
      <c r="E1853" s="1100">
        <v>0.98385457947772981</v>
      </c>
      <c r="F1853" s="1100">
        <v>0.99042281345439531</v>
      </c>
      <c r="G1853" s="1100">
        <v>1.0381850385578437</v>
      </c>
      <c r="H1853" s="1100">
        <v>0.99338305684168249</v>
      </c>
      <c r="I1853" s="1100">
        <v>1.016834344654151</v>
      </c>
      <c r="K1853">
        <v>1.1484043220548534</v>
      </c>
      <c r="L1853">
        <v>0</v>
      </c>
      <c r="M1853">
        <v>8.4723699302870789E-4</v>
      </c>
      <c r="N1853">
        <v>7.4249224251570628E-2</v>
      </c>
      <c r="O1853">
        <v>1.0654714824558856E-2</v>
      </c>
      <c r="P1853">
        <v>1.3350676772229363E-2</v>
      </c>
      <c r="Q1853">
        <v>4.5518057230464824E-4</v>
      </c>
      <c r="R1853">
        <v>8.4534807226884065E-4</v>
      </c>
      <c r="S1853">
        <v>7.6188996628528627E-2</v>
      </c>
      <c r="T1853">
        <v>0.82076959033248764</v>
      </c>
      <c r="U1853">
        <v>0</v>
      </c>
      <c r="V1853">
        <v>9.4268063154965567E-2</v>
      </c>
      <c r="W1853">
        <v>4.9250032818275245E-2</v>
      </c>
      <c r="X1853">
        <v>6.9189728368931128E-3</v>
      </c>
      <c r="Y1853">
        <v>2.3007587837986544E-3</v>
      </c>
    </row>
    <row r="1854" spans="1:25" x14ac:dyDescent="0.25">
      <c r="A1854" s="1096"/>
      <c r="B1854" s="1455">
        <v>1604</v>
      </c>
      <c r="C1854" s="1100">
        <v>1.0045047696452909</v>
      </c>
      <c r="D1854" s="1100">
        <v>0.99051678163484302</v>
      </c>
      <c r="E1854" s="1100">
        <v>1.0037036320577395</v>
      </c>
      <c r="F1854" s="1100">
        <v>1.0279423455165233</v>
      </c>
      <c r="G1854" s="1100">
        <v>1.0111939372209178</v>
      </c>
      <c r="H1854" s="1100">
        <v>1.0266296635015748</v>
      </c>
      <c r="I1854" s="1100">
        <v>1.0219550204887211</v>
      </c>
      <c r="K1854">
        <v>1.1784558341164297</v>
      </c>
      <c r="L1854">
        <v>0</v>
      </c>
      <c r="M1854">
        <v>8.1524360401700384E-4</v>
      </c>
      <c r="N1854">
        <v>7.5868523443108973E-2</v>
      </c>
      <c r="O1854">
        <v>1.0343404039021759E-2</v>
      </c>
      <c r="P1854">
        <v>1.3924996294600606E-2</v>
      </c>
      <c r="Q1854">
        <v>4.5081705030409374E-4</v>
      </c>
      <c r="R1854">
        <v>8.1348487402613766E-4</v>
      </c>
      <c r="S1854">
        <v>7.5605865098008027E-2</v>
      </c>
      <c r="T1854">
        <v>0.85050733138628087</v>
      </c>
      <c r="U1854">
        <v>0</v>
      </c>
      <c r="V1854">
        <v>9.2463631079437628E-2</v>
      </c>
      <c r="W1854">
        <v>4.9731032313771233E-2</v>
      </c>
      <c r="X1854">
        <v>7.3479544800039666E-3</v>
      </c>
      <c r="Y1854">
        <v>2.2140376618824949E-3</v>
      </c>
    </row>
    <row r="1855" spans="1:25" x14ac:dyDescent="0.25">
      <c r="A1855" s="1096"/>
      <c r="B1855" s="1455">
        <v>1605</v>
      </c>
      <c r="C1855" s="1100">
        <v>1.0314604509194556</v>
      </c>
      <c r="D1855" s="1100">
        <v>1.0224268601316397</v>
      </c>
      <c r="E1855" s="1100">
        <v>1.0147615342356875</v>
      </c>
      <c r="F1855" s="1100">
        <v>0.99049933488789432</v>
      </c>
      <c r="G1855" s="1100">
        <v>1.0267307026762653</v>
      </c>
      <c r="H1855" s="1100">
        <v>1.027326426687895</v>
      </c>
      <c r="I1855" s="1100">
        <v>1.0010379296390546</v>
      </c>
      <c r="K1855">
        <v>1.1373846531670957</v>
      </c>
      <c r="L1855">
        <v>0</v>
      </c>
      <c r="M1855">
        <v>7.6665065268916694E-4</v>
      </c>
      <c r="N1855">
        <v>7.3768608065781227E-2</v>
      </c>
      <c r="O1855">
        <v>9.949626944407498E-3</v>
      </c>
      <c r="P1855">
        <v>1.3539408655222919E-2</v>
      </c>
      <c r="Q1855">
        <v>4.3847651501284095E-4</v>
      </c>
      <c r="R1855">
        <v>7.6499787429208611E-4</v>
      </c>
      <c r="S1855">
        <v>7.1002624676929402E-2</v>
      </c>
      <c r="T1855">
        <v>0.81880557333493786</v>
      </c>
      <c r="U1855">
        <v>0</v>
      </c>
      <c r="V1855">
        <v>9.2484451357156688E-2</v>
      </c>
      <c r="W1855">
        <v>4.8040094709033289E-2</v>
      </c>
      <c r="X1855">
        <v>7.2753696546690389E-3</v>
      </c>
      <c r="Y1855">
        <v>2.0820720323415733E-3</v>
      </c>
    </row>
    <row r="1856" spans="1:25" x14ac:dyDescent="0.25">
      <c r="A1856" s="1096"/>
      <c r="B1856" s="1455">
        <v>1606</v>
      </c>
      <c r="C1856" s="1100">
        <v>0.98354948604048331</v>
      </c>
      <c r="D1856" s="1100">
        <v>1.0406126217227809</v>
      </c>
      <c r="E1856" s="1100">
        <v>0.99069860575910895</v>
      </c>
      <c r="F1856" s="1100">
        <v>0.99329164028576822</v>
      </c>
      <c r="G1856" s="1100">
        <v>0.99159561323836776</v>
      </c>
      <c r="H1856" s="1100">
        <v>0.96892417597491198</v>
      </c>
      <c r="I1856" s="1100">
        <v>1.0088752785677739</v>
      </c>
      <c r="K1856">
        <v>1.1376270526536976</v>
      </c>
      <c r="L1856">
        <v>0</v>
      </c>
      <c r="M1856">
        <v>7.9151447618590819E-4</v>
      </c>
      <c r="N1856">
        <v>7.0812479711825221E-2</v>
      </c>
      <c r="O1856">
        <v>1.0353085935601433E-2</v>
      </c>
      <c r="P1856">
        <v>1.3359704962521994E-2</v>
      </c>
      <c r="Q1856">
        <v>4.4536960646926731E-4</v>
      </c>
      <c r="R1856">
        <v>7.8970524257265307E-4</v>
      </c>
      <c r="S1856">
        <v>7.1944305076997186E-2</v>
      </c>
      <c r="T1856">
        <v>0.82269413739160635</v>
      </c>
      <c r="U1856">
        <v>0</v>
      </c>
      <c r="V1856">
        <v>9.2149397162674535E-2</v>
      </c>
      <c r="W1856">
        <v>4.6777818041737633E-2</v>
      </c>
      <c r="X1856">
        <v>6.9432466538561916E-3</v>
      </c>
      <c r="Y1856">
        <v>2.1493173440195116E-3</v>
      </c>
    </row>
    <row r="1857" spans="1:25" x14ac:dyDescent="0.25">
      <c r="A1857" s="1096"/>
      <c r="B1857" s="1455">
        <v>1607</v>
      </c>
      <c r="C1857" s="1100">
        <v>0.9972432722323914</v>
      </c>
      <c r="D1857" s="1100">
        <v>1.0129381274241447</v>
      </c>
      <c r="E1857" s="1100">
        <v>0.97973733147925668</v>
      </c>
      <c r="F1857" s="1100">
        <v>0.987028927585751</v>
      </c>
      <c r="G1857" s="1100">
        <v>1.0089218362095818</v>
      </c>
      <c r="H1857" s="1100">
        <v>1.0296139281141159</v>
      </c>
      <c r="I1857" s="1100">
        <v>1.0415982430747996</v>
      </c>
      <c r="K1857">
        <v>1.1443359725835469</v>
      </c>
      <c r="L1857">
        <v>0</v>
      </c>
      <c r="M1857">
        <v>8.5777373034614331E-4</v>
      </c>
      <c r="N1857">
        <v>7.4247944733016602E-2</v>
      </c>
      <c r="O1857">
        <v>1.0318037994790297E-2</v>
      </c>
      <c r="P1857">
        <v>1.3260369304155703E-2</v>
      </c>
      <c r="Q1857">
        <v>4.3895844143200475E-4</v>
      </c>
      <c r="R1857">
        <v>8.5592861334424144E-4</v>
      </c>
      <c r="S1857">
        <v>7.6832869540140583E-2</v>
      </c>
      <c r="T1857">
        <v>0.81822849608271719</v>
      </c>
      <c r="U1857">
        <v>0</v>
      </c>
      <c r="V1857">
        <v>9.2542848753425305E-2</v>
      </c>
      <c r="W1857">
        <v>4.937159985056308E-2</v>
      </c>
      <c r="X1857">
        <v>6.7671374715764683E-3</v>
      </c>
      <c r="Y1857">
        <v>2.3295555287314675E-3</v>
      </c>
    </row>
    <row r="1858" spans="1:25" x14ac:dyDescent="0.25">
      <c r="A1858" s="1096"/>
      <c r="B1858" s="1455">
        <v>1608</v>
      </c>
      <c r="C1858" s="1100">
        <v>1.002121836837133</v>
      </c>
      <c r="D1858" s="1100">
        <v>1.0016313286368319</v>
      </c>
      <c r="E1858" s="1100">
        <v>1.0055340564970456</v>
      </c>
      <c r="F1858" s="1100">
        <v>0.97727543331884303</v>
      </c>
      <c r="G1858" s="1100">
        <v>1.0265688025670361</v>
      </c>
      <c r="H1858" s="1100">
        <v>0.98518117734526678</v>
      </c>
      <c r="I1858" s="1100">
        <v>1.0002730480755455</v>
      </c>
      <c r="K1858">
        <v>1.1274986531790185</v>
      </c>
      <c r="L1858">
        <v>0</v>
      </c>
      <c r="M1858">
        <v>7.7773674056169802E-4</v>
      </c>
      <c r="N1858">
        <v>7.2772655549739759E-2</v>
      </c>
      <c r="O1858">
        <v>1.0322424075685581E-2</v>
      </c>
      <c r="P1858">
        <v>1.3329996020589666E-2</v>
      </c>
      <c r="Q1858">
        <v>4.5072906303456685E-4</v>
      </c>
      <c r="R1858">
        <v>7.7598833536826639E-4</v>
      </c>
      <c r="S1858">
        <v>7.2075332690232169E-2</v>
      </c>
      <c r="T1858">
        <v>0.80846796653102604</v>
      </c>
      <c r="U1858">
        <v>0</v>
      </c>
      <c r="V1858">
        <v>9.3179837155238698E-2</v>
      </c>
      <c r="W1858">
        <v>4.765004484875477E-2</v>
      </c>
      <c r="X1858">
        <v>7.1394312055244082E-3</v>
      </c>
      <c r="Y1858">
        <v>2.1119844443864156E-3</v>
      </c>
    </row>
    <row r="1859" spans="1:25" x14ac:dyDescent="0.25">
      <c r="A1859" s="1096"/>
      <c r="B1859" s="1455">
        <v>1609</v>
      </c>
      <c r="C1859" s="1100">
        <v>0.97181850626864275</v>
      </c>
      <c r="D1859" s="1100">
        <v>0.9600787037890246</v>
      </c>
      <c r="E1859" s="1100">
        <v>1.0282152312368176</v>
      </c>
      <c r="F1859" s="1100">
        <v>1.0171015150824565</v>
      </c>
      <c r="G1859" s="1100">
        <v>0.97922186737939476</v>
      </c>
      <c r="H1859" s="1100">
        <v>1.0102083379155773</v>
      </c>
      <c r="I1859" s="1100">
        <v>1.0233530079045086</v>
      </c>
      <c r="K1859">
        <v>1.1777075003084707</v>
      </c>
      <c r="L1859">
        <v>0</v>
      </c>
      <c r="M1859">
        <v>7.9788047267418305E-4</v>
      </c>
      <c r="N1859">
        <v>7.9950421494700663E-2</v>
      </c>
      <c r="O1859">
        <v>1.0834020186071951E-2</v>
      </c>
      <c r="P1859">
        <v>1.4068523398747472E-2</v>
      </c>
      <c r="Q1859">
        <v>4.8387490031351165E-4</v>
      </c>
      <c r="R1859">
        <v>7.9613122032649213E-4</v>
      </c>
      <c r="S1859">
        <v>7.8833273991580854E-2</v>
      </c>
      <c r="T1859">
        <v>0.83990011309278523</v>
      </c>
      <c r="U1859">
        <v>0</v>
      </c>
      <c r="V1859">
        <v>9.1931238705540097E-2</v>
      </c>
      <c r="W1859">
        <v>5.16581220828451E-2</v>
      </c>
      <c r="X1859">
        <v>7.8828549710892523E-3</v>
      </c>
      <c r="Y1859">
        <v>2.166806737142465E-3</v>
      </c>
    </row>
    <row r="1860" spans="1:25" x14ac:dyDescent="0.25">
      <c r="A1860" s="1096"/>
      <c r="B1860" s="1455">
        <v>1610</v>
      </c>
      <c r="C1860" s="1100">
        <v>0.98512518390739878</v>
      </c>
      <c r="D1860" s="1100">
        <v>1.0083899567015997</v>
      </c>
      <c r="E1860" s="1100">
        <v>1.0152799292436858</v>
      </c>
      <c r="F1860" s="1100">
        <v>1.0062166015263547</v>
      </c>
      <c r="G1860" s="1100">
        <v>1.0101330728021134</v>
      </c>
      <c r="H1860" s="1100">
        <v>1.0051679994782847</v>
      </c>
      <c r="I1860" s="1100">
        <v>0.98831936404389864</v>
      </c>
      <c r="K1860">
        <v>1.1575199532402471</v>
      </c>
      <c r="L1860">
        <v>0</v>
      </c>
      <c r="M1860">
        <v>7.8890058615398726E-4</v>
      </c>
      <c r="N1860">
        <v>7.6024768818398605E-2</v>
      </c>
      <c r="O1860">
        <v>1.0475543990994969E-2</v>
      </c>
      <c r="P1860">
        <v>1.3756852400389586E-2</v>
      </c>
      <c r="Q1860">
        <v>4.6189212438602951E-4</v>
      </c>
      <c r="R1860">
        <v>7.8716234830293738E-4</v>
      </c>
      <c r="S1860">
        <v>7.3017245149898491E-2</v>
      </c>
      <c r="T1860">
        <v>0.83176411964639141</v>
      </c>
      <c r="U1860">
        <v>0</v>
      </c>
      <c r="V1860">
        <v>9.2905465830934633E-2</v>
      </c>
      <c r="W1860">
        <v>4.9494294795840596E-2</v>
      </c>
      <c r="X1860">
        <v>7.4791122967801044E-3</v>
      </c>
      <c r="Y1860">
        <v>2.1423964240822159E-3</v>
      </c>
    </row>
    <row r="1861" spans="1:25" x14ac:dyDescent="0.25">
      <c r="A1861" s="1096"/>
      <c r="B1861" s="1455">
        <v>1611</v>
      </c>
      <c r="C1861" s="1100">
        <v>1.0100966285063555</v>
      </c>
      <c r="D1861" s="1100">
        <v>0.98127069401242806</v>
      </c>
      <c r="E1861" s="1100">
        <v>1.0265775706204696</v>
      </c>
      <c r="F1861" s="1100">
        <v>1.0214006243196261</v>
      </c>
      <c r="G1861" s="1100">
        <v>0.98235502627301385</v>
      </c>
      <c r="H1861" s="1100">
        <v>1.0136809341771229</v>
      </c>
      <c r="I1861" s="1100">
        <v>0.99715346511564362</v>
      </c>
      <c r="K1861">
        <v>1.1682719069021537</v>
      </c>
      <c r="L1861">
        <v>0</v>
      </c>
      <c r="M1861">
        <v>7.661945851325122E-4</v>
      </c>
      <c r="N1861">
        <v>7.6397793219797505E-2</v>
      </c>
      <c r="O1861">
        <v>1.0332288414762318E-2</v>
      </c>
      <c r="P1861">
        <v>1.4012879049094793E-2</v>
      </c>
      <c r="Q1861">
        <v>4.6071863913148091E-4</v>
      </c>
      <c r="R1861">
        <v>7.6452055458707373E-4</v>
      </c>
      <c r="S1861">
        <v>7.3218796309179601E-2</v>
      </c>
      <c r="T1861">
        <v>0.84355947918223251</v>
      </c>
      <c r="U1861">
        <v>0</v>
      </c>
      <c r="V1861">
        <v>9.1098008227352395E-2</v>
      </c>
      <c r="W1861">
        <v>4.9409716851380375E-2</v>
      </c>
      <c r="X1861">
        <v>7.7031281143143298E-3</v>
      </c>
      <c r="Y1861">
        <v>2.0807729254529277E-3</v>
      </c>
    </row>
    <row r="1862" spans="1:25" x14ac:dyDescent="0.25">
      <c r="A1862" s="1096"/>
      <c r="B1862" s="1455">
        <v>1612</v>
      </c>
      <c r="C1862" s="1100">
        <v>0.99969621995604063</v>
      </c>
      <c r="D1862" s="1100">
        <v>0.96394246210149437</v>
      </c>
      <c r="E1862" s="1100">
        <v>1.010286694840665</v>
      </c>
      <c r="F1862" s="1100">
        <v>0.97137832741362606</v>
      </c>
      <c r="G1862" s="1100">
        <v>1.001930495393542</v>
      </c>
      <c r="H1862" s="1100">
        <v>0.98015759706951033</v>
      </c>
      <c r="I1862" s="1100">
        <v>1.0400957021513426</v>
      </c>
      <c r="K1862">
        <v>1.1279489388935333</v>
      </c>
      <c r="L1862">
        <v>0</v>
      </c>
      <c r="M1862">
        <v>7.7990359386480833E-4</v>
      </c>
      <c r="N1862">
        <v>7.4029329539231248E-2</v>
      </c>
      <c r="O1862">
        <v>1.0509020237892781E-2</v>
      </c>
      <c r="P1862">
        <v>1.3351895339884049E-2</v>
      </c>
      <c r="Q1862">
        <v>4.6106459613512083E-4</v>
      </c>
      <c r="R1862">
        <v>7.7814133140819363E-4</v>
      </c>
      <c r="S1862">
        <v>7.6414624498195277E-2</v>
      </c>
      <c r="T1862">
        <v>0.80328502548090797</v>
      </c>
      <c r="U1862">
        <v>0</v>
      </c>
      <c r="V1862">
        <v>9.2187301784432574E-2</v>
      </c>
      <c r="W1862">
        <v>4.8337009952335065E-2</v>
      </c>
      <c r="X1862">
        <v>7.2575855371024142E-3</v>
      </c>
      <c r="Y1862">
        <v>2.1178441898721447E-3</v>
      </c>
    </row>
    <row r="1863" spans="1:25" x14ac:dyDescent="0.25">
      <c r="A1863" s="1096"/>
      <c r="B1863" s="1455">
        <v>1613</v>
      </c>
      <c r="C1863" s="1100">
        <v>0.99250132630745336</v>
      </c>
      <c r="D1863" s="1100">
        <v>1.0317904066339783</v>
      </c>
      <c r="E1863" s="1100">
        <v>0.98936627156067836</v>
      </c>
      <c r="F1863" s="1100">
        <v>0.9947558729219379</v>
      </c>
      <c r="G1863" s="1100">
        <v>0.96897841980514166</v>
      </c>
      <c r="H1863" s="1100">
        <v>1.0278416745612433</v>
      </c>
      <c r="I1863" s="1100">
        <v>0.97756423470792175</v>
      </c>
      <c r="K1863">
        <v>1.1438822961873603</v>
      </c>
      <c r="L1863">
        <v>0</v>
      </c>
      <c r="M1863">
        <v>8.3721660165058276E-4</v>
      </c>
      <c r="N1863">
        <v>7.460988481610166E-2</v>
      </c>
      <c r="O1863">
        <v>1.029427354086699E-2</v>
      </c>
      <c r="P1863">
        <v>1.3344625143977225E-2</v>
      </c>
      <c r="Q1863">
        <v>4.4224366167566612E-4</v>
      </c>
      <c r="R1863">
        <v>8.3541259893467367E-4</v>
      </c>
      <c r="S1863">
        <v>7.171555619415064E-2</v>
      </c>
      <c r="T1863">
        <v>0.8239950605897608</v>
      </c>
      <c r="U1863">
        <v>0</v>
      </c>
      <c r="V1863">
        <v>9.0954849416506653E-2</v>
      </c>
      <c r="W1863">
        <v>4.9325687810913538E-2</v>
      </c>
      <c r="X1863">
        <v>6.9282013155117584E-3</v>
      </c>
      <c r="Y1863">
        <v>2.2737177006109566E-3</v>
      </c>
    </row>
    <row r="1864" spans="1:25" x14ac:dyDescent="0.25">
      <c r="A1864" s="1096"/>
      <c r="B1864" s="1455">
        <v>1614</v>
      </c>
      <c r="C1864" s="1100">
        <v>0.97943281221775724</v>
      </c>
      <c r="D1864" s="1100">
        <v>1.0225528088204885</v>
      </c>
      <c r="E1864" s="1100">
        <v>1.0036076040848845</v>
      </c>
      <c r="F1864" s="1100">
        <v>0.9805692541564992</v>
      </c>
      <c r="G1864" s="1100">
        <v>0.99989169013731249</v>
      </c>
      <c r="H1864" s="1100">
        <v>1.0194377475489698</v>
      </c>
      <c r="I1864" s="1100">
        <v>1.0375737609143501</v>
      </c>
      <c r="K1864">
        <v>1.1411238562794179</v>
      </c>
      <c r="L1864">
        <v>0</v>
      </c>
      <c r="M1864">
        <v>8.199146559557598E-4</v>
      </c>
      <c r="N1864">
        <v>7.6279931242605709E-2</v>
      </c>
      <c r="O1864">
        <v>1.0473937083015404E-2</v>
      </c>
      <c r="P1864">
        <v>1.3411499704107909E-2</v>
      </c>
      <c r="Q1864">
        <v>4.5646235703381509E-4</v>
      </c>
      <c r="R1864">
        <v>8.1813337052069938E-4</v>
      </c>
      <c r="S1864">
        <v>7.7147579208859188E-2</v>
      </c>
      <c r="T1864">
        <v>0.81131761906384559</v>
      </c>
      <c r="U1864">
        <v>0</v>
      </c>
      <c r="V1864">
        <v>9.2612031085275381E-2</v>
      </c>
      <c r="W1864">
        <v>5.0003551459097843E-2</v>
      </c>
      <c r="X1864">
        <v>7.1963370240481321E-3</v>
      </c>
      <c r="Y1864">
        <v>2.2266893369642347E-3</v>
      </c>
    </row>
    <row r="1865" spans="1:25" x14ac:dyDescent="0.25">
      <c r="A1865" s="1096"/>
      <c r="B1865" s="1455">
        <v>1615</v>
      </c>
      <c r="C1865" s="1100">
        <v>1.0008022014014371</v>
      </c>
      <c r="D1865" s="1100">
        <v>1.0202882376375901</v>
      </c>
      <c r="E1865" s="1100">
        <v>0.95795470280822315</v>
      </c>
      <c r="F1865" s="1100">
        <v>0.98809612657902546</v>
      </c>
      <c r="G1865" s="1100">
        <v>0.98463565483566284</v>
      </c>
      <c r="H1865" s="1100">
        <v>1.0019931579877293</v>
      </c>
      <c r="I1865" s="1100">
        <v>0.98737265881204039</v>
      </c>
      <c r="K1865">
        <v>1.1331760706864098</v>
      </c>
      <c r="L1865">
        <v>0</v>
      </c>
      <c r="M1865">
        <v>8.6753340675772058E-4</v>
      </c>
      <c r="N1865">
        <v>7.0295190400688504E-2</v>
      </c>
      <c r="O1865">
        <v>1.0244624644855309E-2</v>
      </c>
      <c r="P1865">
        <v>1.2981455271305816E-2</v>
      </c>
      <c r="Q1865">
        <v>4.2623302446494839E-4</v>
      </c>
      <c r="R1865">
        <v>8.6561585529007642E-4</v>
      </c>
      <c r="S1865">
        <v>7.1181995653896046E-2</v>
      </c>
      <c r="T1865">
        <v>0.82055982034607633</v>
      </c>
      <c r="U1865">
        <v>0</v>
      </c>
      <c r="V1865">
        <v>9.1412943663087151E-2</v>
      </c>
      <c r="W1865">
        <v>4.7367608805923743E-2</v>
      </c>
      <c r="X1865">
        <v>6.3521954196688168E-3</v>
      </c>
      <c r="Y1865">
        <v>2.3559210079095814E-3</v>
      </c>
    </row>
    <row r="1866" spans="1:25" x14ac:dyDescent="0.25">
      <c r="A1866" s="1096"/>
      <c r="B1866" s="1455">
        <v>1616</v>
      </c>
      <c r="C1866" s="1100">
        <v>0.98962003977977953</v>
      </c>
      <c r="D1866" s="1100">
        <v>1.0335543882426803</v>
      </c>
      <c r="E1866" s="1100">
        <v>1.0356399968058443</v>
      </c>
      <c r="F1866" s="1100">
        <v>0.97433456842017485</v>
      </c>
      <c r="G1866" s="1100">
        <v>1.0295272829744562</v>
      </c>
      <c r="H1866" s="1100">
        <v>0.99182949321382241</v>
      </c>
      <c r="I1866" s="1100">
        <v>1.0119976793218322</v>
      </c>
      <c r="K1866">
        <v>1.1285922336185563</v>
      </c>
      <c r="L1866">
        <v>0</v>
      </c>
      <c r="M1866">
        <v>7.3544271405473851E-4</v>
      </c>
      <c r="N1866">
        <v>7.5358684897816497E-2</v>
      </c>
      <c r="O1866">
        <v>1.0332325708626548E-2</v>
      </c>
      <c r="P1866">
        <v>1.3585335519088476E-2</v>
      </c>
      <c r="Q1866">
        <v>4.6486436432611756E-4</v>
      </c>
      <c r="R1866">
        <v>7.3380047109285142E-4</v>
      </c>
      <c r="S1866">
        <v>7.2969058481850591E-2</v>
      </c>
      <c r="T1866">
        <v>0.80411265412072175</v>
      </c>
      <c r="U1866">
        <v>0</v>
      </c>
      <c r="V1866">
        <v>9.362330708857447E-2</v>
      </c>
      <c r="W1866">
        <v>4.8482189936585394E-2</v>
      </c>
      <c r="X1866">
        <v>7.6682927588729681E-3</v>
      </c>
      <c r="Y1866">
        <v>1.9971629850544571E-3</v>
      </c>
    </row>
    <row r="1867" spans="1:25" x14ac:dyDescent="0.25">
      <c r="A1867" s="1096"/>
      <c r="B1867" s="1455">
        <v>1617</v>
      </c>
      <c r="C1867" s="1100">
        <v>0.95187371308068824</v>
      </c>
      <c r="D1867" s="1100">
        <v>0.99292812495349836</v>
      </c>
      <c r="E1867" s="1100">
        <v>0.9751985524741501</v>
      </c>
      <c r="F1867" s="1100">
        <v>1.0063378285589402</v>
      </c>
      <c r="G1867" s="1100">
        <v>0.99951750504398784</v>
      </c>
      <c r="H1867" s="1100">
        <v>1.0104106004864426</v>
      </c>
      <c r="I1867" s="1100">
        <v>0.95729820546262401</v>
      </c>
      <c r="K1867">
        <v>1.1635663476642388</v>
      </c>
      <c r="L1867">
        <v>0</v>
      </c>
      <c r="M1867">
        <v>8.9734273047248423E-4</v>
      </c>
      <c r="N1867">
        <v>7.661028161286626E-2</v>
      </c>
      <c r="O1867">
        <v>1.0894888500104489E-2</v>
      </c>
      <c r="P1867">
        <v>1.3404596797462049E-2</v>
      </c>
      <c r="Q1867">
        <v>4.6136299344036035E-4</v>
      </c>
      <c r="R1867">
        <v>8.9537581347726657E-4</v>
      </c>
      <c r="S1867">
        <v>7.3945921433959227E-2</v>
      </c>
      <c r="T1867">
        <v>0.83454093711785282</v>
      </c>
      <c r="U1867">
        <v>0</v>
      </c>
      <c r="V1867">
        <v>9.3324086053358166E-2</v>
      </c>
      <c r="W1867">
        <v>5.1082536256343875E-2</v>
      </c>
      <c r="X1867">
        <v>6.8667860121186183E-3</v>
      </c>
      <c r="Y1867">
        <v>2.4369178037275323E-3</v>
      </c>
    </row>
    <row r="1868" spans="1:25" x14ac:dyDescent="0.25">
      <c r="A1868" s="1096"/>
      <c r="B1868" s="1455">
        <v>1618</v>
      </c>
      <c r="C1868" s="1100">
        <v>0.99339015146875498</v>
      </c>
      <c r="D1868" s="1100">
        <v>0.9674430556147493</v>
      </c>
      <c r="E1868" s="1100">
        <v>1.0223142753189551</v>
      </c>
      <c r="F1868" s="1100">
        <v>1.0387326650997872</v>
      </c>
      <c r="G1868" s="1100">
        <v>1.0032582411330477</v>
      </c>
      <c r="H1868" s="1100">
        <v>0.95807137013517807</v>
      </c>
      <c r="I1868" s="1100">
        <v>0.99118325810189301</v>
      </c>
      <c r="K1868">
        <v>1.1789830399752816</v>
      </c>
      <c r="L1868">
        <v>0</v>
      </c>
      <c r="M1868">
        <v>7.4713499082021309E-4</v>
      </c>
      <c r="N1868">
        <v>7.3536300990817705E-2</v>
      </c>
      <c r="O1868">
        <v>1.0564433936505167E-2</v>
      </c>
      <c r="P1868">
        <v>1.4176360586553327E-2</v>
      </c>
      <c r="Q1868">
        <v>4.6908258127831661E-4</v>
      </c>
      <c r="R1868">
        <v>7.4540785380527107E-4</v>
      </c>
      <c r="S1868">
        <v>7.2251921117881521E-2</v>
      </c>
      <c r="T1868">
        <v>0.85816342648905219</v>
      </c>
      <c r="U1868">
        <v>0</v>
      </c>
      <c r="V1868">
        <v>9.2403413516606914E-2</v>
      </c>
      <c r="W1868">
        <v>4.7677425301830591E-2</v>
      </c>
      <c r="X1868">
        <v>7.713648137347158E-3</v>
      </c>
      <c r="Y1868">
        <v>2.028754454424981E-3</v>
      </c>
    </row>
    <row r="1869" spans="1:25" x14ac:dyDescent="0.25">
      <c r="A1869" s="1096"/>
      <c r="B1869" s="1455">
        <v>1619</v>
      </c>
      <c r="C1869" s="1100">
        <v>0.97464443966702563</v>
      </c>
      <c r="D1869" s="1100">
        <v>0.99902719449174304</v>
      </c>
      <c r="E1869" s="1100">
        <v>1.0077463762987338</v>
      </c>
      <c r="F1869" s="1100">
        <v>0.97678132151899399</v>
      </c>
      <c r="G1869" s="1100">
        <v>1.0147601922004621</v>
      </c>
      <c r="H1869" s="1100">
        <v>1.0303947512095757</v>
      </c>
      <c r="I1869" s="1100">
        <v>0.98894125881821926</v>
      </c>
      <c r="K1869">
        <v>1.1404134265318349</v>
      </c>
      <c r="L1869">
        <v>0</v>
      </c>
      <c r="M1869">
        <v>8.333964854502846E-4</v>
      </c>
      <c r="N1869">
        <v>7.8511191962010812E-2</v>
      </c>
      <c r="O1869">
        <v>1.0625237831491234E-2</v>
      </c>
      <c r="P1869">
        <v>1.3390378064242659E-2</v>
      </c>
      <c r="Q1869">
        <v>4.6498052116439304E-4</v>
      </c>
      <c r="R1869">
        <v>8.316051636767498E-4</v>
      </c>
      <c r="S1869">
        <v>7.5235924740745655E-2</v>
      </c>
      <c r="T1869">
        <v>0.80791660352673567</v>
      </c>
      <c r="U1869">
        <v>0</v>
      </c>
      <c r="V1869">
        <v>9.3372634736082941E-2</v>
      </c>
      <c r="W1869">
        <v>5.1340323327352319E-2</v>
      </c>
      <c r="X1869">
        <v>7.2945880268229096E-3</v>
      </c>
      <c r="Y1869">
        <v>2.263355116959583E-3</v>
      </c>
    </row>
    <row r="1870" spans="1:25" x14ac:dyDescent="0.25">
      <c r="A1870" s="1096"/>
      <c r="B1870" s="1455">
        <v>1620</v>
      </c>
      <c r="C1870" s="1100">
        <v>0.96821224273976103</v>
      </c>
      <c r="D1870" s="1100">
        <v>1.0096682880189347</v>
      </c>
      <c r="E1870" s="1100">
        <v>0.97996426497353384</v>
      </c>
      <c r="F1870" s="1100">
        <v>1.0111740260029938</v>
      </c>
      <c r="G1870" s="1100">
        <v>1.0107772526070713</v>
      </c>
      <c r="H1870" s="1100">
        <v>0.99213714056506086</v>
      </c>
      <c r="I1870" s="1100">
        <v>0.96748002823740054</v>
      </c>
      <c r="K1870">
        <v>1.1603561447458191</v>
      </c>
      <c r="L1870">
        <v>0</v>
      </c>
      <c r="M1870">
        <v>8.5203704795492957E-4</v>
      </c>
      <c r="N1870">
        <v>7.3796031644158447E-2</v>
      </c>
      <c r="O1870">
        <v>1.0641245377385726E-2</v>
      </c>
      <c r="P1870">
        <v>1.3478788482967942E-2</v>
      </c>
      <c r="Q1870">
        <v>4.5281303528491392E-4</v>
      </c>
      <c r="R1870">
        <v>8.5013503991158838E-4</v>
      </c>
      <c r="S1870">
        <v>7.2110088984673124E-2</v>
      </c>
      <c r="T1870">
        <v>0.83822898888575437</v>
      </c>
      <c r="U1870">
        <v>0</v>
      </c>
      <c r="V1870">
        <v>9.3367135214475858E-2</v>
      </c>
      <c r="W1870">
        <v>4.9064373194628232E-2</v>
      </c>
      <c r="X1870">
        <v>6.9047946028332639E-3</v>
      </c>
      <c r="Y1870">
        <v>2.3137873316987543E-3</v>
      </c>
    </row>
    <row r="1871" spans="1:25" x14ac:dyDescent="0.25">
      <c r="A1871" s="1096"/>
      <c r="B1871" s="1455">
        <v>1621</v>
      </c>
      <c r="C1871" s="1100">
        <v>1.0365493312420277</v>
      </c>
      <c r="D1871" s="1100">
        <v>0.9672335041646577</v>
      </c>
      <c r="E1871" s="1100">
        <v>1.0156491656484379</v>
      </c>
      <c r="F1871" s="1100">
        <v>1.0199206562840721</v>
      </c>
      <c r="G1871" s="1100">
        <v>0.97590607080441705</v>
      </c>
      <c r="H1871" s="1100">
        <v>1.0228312071252545</v>
      </c>
      <c r="I1871" s="1100">
        <v>1.0144057391390271</v>
      </c>
      <c r="K1871">
        <v>1.1642157169355789</v>
      </c>
      <c r="L1871">
        <v>0</v>
      </c>
      <c r="M1871">
        <v>7.7516560079196834E-4</v>
      </c>
      <c r="N1871">
        <v>7.4787291791951926E-2</v>
      </c>
      <c r="O1871">
        <v>1.01232971207005E-2</v>
      </c>
      <c r="P1871">
        <v>1.388542949202989E-2</v>
      </c>
      <c r="Q1871">
        <v>4.4652499363505922E-4</v>
      </c>
      <c r="R1871">
        <v>7.7348712106647488E-4</v>
      </c>
      <c r="S1871">
        <v>7.347977770721828E-2</v>
      </c>
      <c r="T1871">
        <v>0.84306749482205945</v>
      </c>
      <c r="U1871">
        <v>0</v>
      </c>
      <c r="V1871">
        <v>9.0194171554968727E-2</v>
      </c>
      <c r="W1871">
        <v>4.8678107611004807E-2</v>
      </c>
      <c r="X1871">
        <v>7.4501233581531308E-3</v>
      </c>
      <c r="Y1871">
        <v>2.1051769635820122E-3</v>
      </c>
    </row>
    <row r="1872" spans="1:25" x14ac:dyDescent="0.25">
      <c r="A1872" s="1096"/>
      <c r="B1872" s="1455">
        <v>1622</v>
      </c>
      <c r="C1872" s="1100">
        <v>0.97862817591530449</v>
      </c>
      <c r="D1872" s="1100">
        <v>1.0314405464782666</v>
      </c>
      <c r="E1872" s="1100">
        <v>0.99763047674320104</v>
      </c>
      <c r="F1872" s="1100">
        <v>0.97344473249909769</v>
      </c>
      <c r="G1872" s="1100">
        <v>1.020157752767523</v>
      </c>
      <c r="H1872" s="1100">
        <v>0.97147582178786118</v>
      </c>
      <c r="I1872" s="1100">
        <v>0.95734777816821637</v>
      </c>
      <c r="K1872">
        <v>1.1210574392200767</v>
      </c>
      <c r="L1872">
        <v>0</v>
      </c>
      <c r="M1872">
        <v>7.8900282302024334E-4</v>
      </c>
      <c r="N1872">
        <v>7.208274215572795E-2</v>
      </c>
      <c r="O1872">
        <v>1.0444349888290188E-2</v>
      </c>
      <c r="P1872">
        <v>1.3178374958737398E-2</v>
      </c>
      <c r="Q1872">
        <v>4.5244733481962474E-4</v>
      </c>
      <c r="R1872">
        <v>7.8720406750444171E-4</v>
      </c>
      <c r="S1872">
        <v>6.9034289407731403E-2</v>
      </c>
      <c r="T1872">
        <v>0.80580791821050579</v>
      </c>
      <c r="U1872">
        <v>0</v>
      </c>
      <c r="V1872">
        <v>9.3498359806419337E-2</v>
      </c>
      <c r="W1872">
        <v>4.7420259553406938E-2</v>
      </c>
      <c r="X1872">
        <v>6.997986689956312E-3</v>
      </c>
      <c r="Y1872">
        <v>2.1425099699959801E-3</v>
      </c>
    </row>
    <row r="1873" spans="1:25" x14ac:dyDescent="0.25">
      <c r="A1873" s="1096"/>
      <c r="B1873" s="1455">
        <v>1623</v>
      </c>
      <c r="C1873" s="1100">
        <v>0.99900752217105193</v>
      </c>
      <c r="D1873" s="1100">
        <v>0.982552484688195</v>
      </c>
      <c r="E1873" s="1100">
        <v>1.0046696995099029</v>
      </c>
      <c r="F1873" s="1100">
        <v>0.97594650937919081</v>
      </c>
      <c r="G1873" s="1100">
        <v>1.0354173185622075</v>
      </c>
      <c r="H1873" s="1100">
        <v>0.96503359510865194</v>
      </c>
      <c r="I1873" s="1100">
        <v>0.98804692845907793</v>
      </c>
      <c r="K1873">
        <v>1.1249501573484304</v>
      </c>
      <c r="L1873">
        <v>0</v>
      </c>
      <c r="M1873">
        <v>7.7149096696350959E-4</v>
      </c>
      <c r="N1873">
        <v>7.1996656373074092E-2</v>
      </c>
      <c r="O1873">
        <v>1.0434278927063379E-2</v>
      </c>
      <c r="P1873">
        <v>1.3302895432072569E-2</v>
      </c>
      <c r="Q1873">
        <v>4.5521864389503209E-4</v>
      </c>
      <c r="R1873">
        <v>7.6972039333696065E-4</v>
      </c>
      <c r="S1873">
        <v>7.1308975041135911E-2</v>
      </c>
      <c r="T1873">
        <v>0.80742429994445064</v>
      </c>
      <c r="U1873">
        <v>0</v>
      </c>
      <c r="V1873">
        <v>9.363509684325548E-2</v>
      </c>
      <c r="W1873">
        <v>4.7166063407289655E-2</v>
      </c>
      <c r="X1873">
        <v>7.1335181374169625E-3</v>
      </c>
      <c r="Y1873">
        <v>2.0949251724037368E-3</v>
      </c>
    </row>
    <row r="1874" spans="1:25" x14ac:dyDescent="0.25">
      <c r="A1874" s="1096"/>
      <c r="B1874" s="1455">
        <v>1624</v>
      </c>
      <c r="C1874" s="1100">
        <v>0.9826456137109667</v>
      </c>
      <c r="D1874" s="1100">
        <v>1.0003143109933208</v>
      </c>
      <c r="E1874" s="1100">
        <v>0.98473502296320514</v>
      </c>
      <c r="F1874" s="1100">
        <v>0.99825591785172119</v>
      </c>
      <c r="G1874" s="1100">
        <v>1.0167054147571049</v>
      </c>
      <c r="H1874" s="1100">
        <v>1.0245493331276689</v>
      </c>
      <c r="I1874" s="1100">
        <v>1.0193619241380392</v>
      </c>
      <c r="K1874">
        <v>1.1566513126579641</v>
      </c>
      <c r="L1874">
        <v>0</v>
      </c>
      <c r="M1874">
        <v>8.6163694521534614E-4</v>
      </c>
      <c r="N1874">
        <v>7.5717698217407578E-2</v>
      </c>
      <c r="O1874">
        <v>1.0525636740237775E-2</v>
      </c>
      <c r="P1874">
        <v>1.3437924871129501E-2</v>
      </c>
      <c r="Q1874">
        <v>4.5006783843294125E-4</v>
      </c>
      <c r="R1874">
        <v>8.597743562948543E-4</v>
      </c>
      <c r="S1874">
        <v>7.6593048350797915E-2</v>
      </c>
      <c r="T1874">
        <v>0.82720229830423009</v>
      </c>
      <c r="U1874">
        <v>0</v>
      </c>
      <c r="V1874">
        <v>9.3245439413153663E-2</v>
      </c>
      <c r="W1874">
        <v>5.0197478934535668E-2</v>
      </c>
      <c r="X1874">
        <v>6.9435602036631225E-3</v>
      </c>
      <c r="Y1874">
        <v>2.3400223732942126E-3</v>
      </c>
    </row>
    <row r="1875" spans="1:25" x14ac:dyDescent="0.25">
      <c r="A1875" s="1096"/>
      <c r="B1875" s="1455">
        <v>1625</v>
      </c>
      <c r="C1875" s="1100">
        <v>0.99760939452974695</v>
      </c>
      <c r="D1875" s="1100">
        <v>1.0048711747075296</v>
      </c>
      <c r="E1875" s="1100">
        <v>1.0124242043103473</v>
      </c>
      <c r="F1875" s="1100">
        <v>1.0203208574073441</v>
      </c>
      <c r="G1875" s="1100">
        <v>1.0364850924102207</v>
      </c>
      <c r="H1875" s="1100">
        <v>1.0112962504148488</v>
      </c>
      <c r="I1875" s="1100">
        <v>1.0175556654815661</v>
      </c>
      <c r="K1875">
        <v>1.170928720353436</v>
      </c>
      <c r="L1875">
        <v>0</v>
      </c>
      <c r="M1875">
        <v>7.895474802009693E-4</v>
      </c>
      <c r="N1875">
        <v>7.5435142055915089E-2</v>
      </c>
      <c r="O1875">
        <v>1.0357988784839471E-2</v>
      </c>
      <c r="P1875">
        <v>1.3924177133310796E-2</v>
      </c>
      <c r="Q1875">
        <v>4.5540968543812677E-4</v>
      </c>
      <c r="R1875">
        <v>7.8781835901210674E-4</v>
      </c>
      <c r="S1875">
        <v>7.4620081753781459E-2</v>
      </c>
      <c r="T1875">
        <v>0.84361465139535863</v>
      </c>
      <c r="U1875">
        <v>0</v>
      </c>
      <c r="V1875">
        <v>9.3716551069301074E-2</v>
      </c>
      <c r="W1875">
        <v>4.9192949343030104E-2</v>
      </c>
      <c r="X1875">
        <v>7.4693163846705421E-3</v>
      </c>
      <c r="Y1875">
        <v>2.144181868978703E-3</v>
      </c>
    </row>
    <row r="1876" spans="1:25" x14ac:dyDescent="0.25">
      <c r="A1876" s="1096"/>
      <c r="B1876" s="1455">
        <v>1626</v>
      </c>
      <c r="C1876" s="1100">
        <v>0.99752087502238773</v>
      </c>
      <c r="D1876" s="1100">
        <v>1.0221408813475796</v>
      </c>
      <c r="E1876" s="1100">
        <v>0.97447938517652155</v>
      </c>
      <c r="F1876" s="1100">
        <v>1.0129074858521625</v>
      </c>
      <c r="G1876" s="1100">
        <v>0.97020516280992519</v>
      </c>
      <c r="H1876" s="1100">
        <v>0.98931419756737304</v>
      </c>
      <c r="I1876" s="1100">
        <v>1.0061930812992643</v>
      </c>
      <c r="K1876">
        <v>1.1541024586999697</v>
      </c>
      <c r="L1876">
        <v>0</v>
      </c>
      <c r="M1876">
        <v>8.2996572357863939E-4</v>
      </c>
      <c r="N1876">
        <v>7.0700609498821232E-2</v>
      </c>
      <c r="O1876">
        <v>1.0276213222060897E-2</v>
      </c>
      <c r="P1876">
        <v>1.3414816890746374E-2</v>
      </c>
      <c r="Q1876">
        <v>4.3484522714091632E-4</v>
      </c>
      <c r="R1876">
        <v>8.2810769883517139E-4</v>
      </c>
      <c r="S1876">
        <v>7.2213486883099226E-2</v>
      </c>
      <c r="T1876">
        <v>0.8400378757547059</v>
      </c>
      <c r="U1876">
        <v>0</v>
      </c>
      <c r="V1876">
        <v>9.0879361248810589E-2</v>
      </c>
      <c r="W1876">
        <v>4.7162619302982343E-2</v>
      </c>
      <c r="X1876">
        <v>6.730652525745711E-3</v>
      </c>
      <c r="Y1876">
        <v>2.2538361705997821E-3</v>
      </c>
    </row>
    <row r="1877" spans="1:25" x14ac:dyDescent="0.25">
      <c r="A1877" s="1096"/>
      <c r="B1877" s="1455">
        <v>1627</v>
      </c>
      <c r="C1877" s="1100">
        <v>1.0095187531460432</v>
      </c>
      <c r="D1877" s="1100">
        <v>0.9774605216632285</v>
      </c>
      <c r="E1877" s="1100">
        <v>0.9662471768701546</v>
      </c>
      <c r="F1877" s="1100">
        <v>1.0029432261066131</v>
      </c>
      <c r="G1877" s="1100">
        <v>1.0034275514106195</v>
      </c>
      <c r="H1877" s="1100">
        <v>0.97938614762930609</v>
      </c>
      <c r="I1877" s="1100">
        <v>0.99984952768834856</v>
      </c>
      <c r="K1877">
        <v>1.1460121410284028</v>
      </c>
      <c r="L1877">
        <v>0</v>
      </c>
      <c r="M1877">
        <v>8.4068517574040615E-4</v>
      </c>
      <c r="N1877">
        <v>6.9849208696708326E-2</v>
      </c>
      <c r="O1877">
        <v>1.0334576738594373E-2</v>
      </c>
      <c r="P1877">
        <v>1.3241914226024555E-2</v>
      </c>
      <c r="Q1877">
        <v>4.3365154662394805E-4</v>
      </c>
      <c r="R1877">
        <v>8.387840755290642E-4</v>
      </c>
      <c r="S1877">
        <v>7.2140248152892855E-2</v>
      </c>
      <c r="T1877">
        <v>0.83232871512229001</v>
      </c>
      <c r="U1877">
        <v>0</v>
      </c>
      <c r="V1877">
        <v>9.2004147853073731E-2</v>
      </c>
      <c r="W1877">
        <v>4.6828647401357219E-2</v>
      </c>
      <c r="X1877">
        <v>6.570038642553639E-3</v>
      </c>
      <c r="Y1877">
        <v>2.2828937484939268E-3</v>
      </c>
    </row>
    <row r="1878" spans="1:25" x14ac:dyDescent="0.25">
      <c r="A1878" s="1096"/>
      <c r="B1878" s="1455">
        <v>1628</v>
      </c>
      <c r="C1878" s="1100">
        <v>0.96067425202979917</v>
      </c>
      <c r="D1878" s="1100">
        <v>0.96186479134352498</v>
      </c>
      <c r="E1878" s="1100">
        <v>0.9749300121352813</v>
      </c>
      <c r="F1878" s="1100">
        <v>1.0177325039288494</v>
      </c>
      <c r="G1878" s="1100">
        <v>1.0043251996970459</v>
      </c>
      <c r="H1878" s="1100">
        <v>0.99501417491419442</v>
      </c>
      <c r="I1878" s="1100">
        <v>1.0191304667334689</v>
      </c>
      <c r="K1878">
        <v>1.1763957085473284</v>
      </c>
      <c r="L1878">
        <v>0</v>
      </c>
      <c r="M1878">
        <v>8.872691574112044E-4</v>
      </c>
      <c r="N1878">
        <v>7.568613619530469E-2</v>
      </c>
      <c r="O1878">
        <v>1.0933112325899344E-2</v>
      </c>
      <c r="P1878">
        <v>1.3590483829974964E-2</v>
      </c>
      <c r="Q1878">
        <v>4.6285494938505344E-4</v>
      </c>
      <c r="R1878">
        <v>8.8529422746419072E-4</v>
      </c>
      <c r="S1878">
        <v>7.8608986396193709E-2</v>
      </c>
      <c r="T1878">
        <v>0.84400868571445609</v>
      </c>
      <c r="U1878">
        <v>0</v>
      </c>
      <c r="V1878">
        <v>9.3291255975787607E-2</v>
      </c>
      <c r="W1878">
        <v>5.0474546485633369E-2</v>
      </c>
      <c r="X1878">
        <v>6.9321425546456667E-3</v>
      </c>
      <c r="Y1878">
        <v>2.4094790499938762E-3</v>
      </c>
    </row>
    <row r="1879" spans="1:25" x14ac:dyDescent="0.25">
      <c r="A1879" s="1096"/>
      <c r="B1879" s="1455">
        <v>1629</v>
      </c>
      <c r="C1879" s="1100">
        <v>1.002682731258103</v>
      </c>
      <c r="D1879" s="1100">
        <v>0.99334208643768285</v>
      </c>
      <c r="E1879" s="1100">
        <v>1.0331198958945009</v>
      </c>
      <c r="F1879" s="1100">
        <v>0.99852841955940519</v>
      </c>
      <c r="G1879" s="1100">
        <v>0.98835230489023129</v>
      </c>
      <c r="H1879" s="1100">
        <v>1.001302580871871</v>
      </c>
      <c r="I1879" s="1100">
        <v>0.98332972355540704</v>
      </c>
      <c r="K1879">
        <v>1.1470993645602476</v>
      </c>
      <c r="L1879">
        <v>0</v>
      </c>
      <c r="M1879">
        <v>7.4844177275181932E-4</v>
      </c>
      <c r="N1879">
        <v>7.6112044247457433E-2</v>
      </c>
      <c r="O1879">
        <v>1.0360055452931588E-2</v>
      </c>
      <c r="P1879">
        <v>1.379615239023438E-2</v>
      </c>
      <c r="Q1879">
        <v>4.6495481684474837E-4</v>
      </c>
      <c r="R1879">
        <v>7.4678631439283115E-4</v>
      </c>
      <c r="S1879">
        <v>7.1795178074742311E-2</v>
      </c>
      <c r="T1879">
        <v>0.82424349188119284</v>
      </c>
      <c r="U1879">
        <v>0</v>
      </c>
      <c r="V1879">
        <v>9.1536974152369555E-2</v>
      </c>
      <c r="W1879">
        <v>4.903830343530103E-2</v>
      </c>
      <c r="X1879">
        <v>7.7213593977973876E-3</v>
      </c>
      <c r="Y1879">
        <v>2.0325061697349083E-3</v>
      </c>
    </row>
    <row r="1880" spans="1:25" x14ac:dyDescent="0.25">
      <c r="A1880" s="1096"/>
      <c r="B1880" s="1455">
        <v>1630</v>
      </c>
      <c r="C1880" s="1100">
        <v>0.99481978945496963</v>
      </c>
      <c r="D1880" s="1100">
        <v>1.0116378286451324</v>
      </c>
      <c r="E1880" s="1100">
        <v>1.0001426718798652</v>
      </c>
      <c r="F1880" s="1100">
        <v>1.0360752624983949</v>
      </c>
      <c r="G1880" s="1100">
        <v>0.98679094123012512</v>
      </c>
      <c r="H1880" s="1100">
        <v>0.97077662393750364</v>
      </c>
      <c r="I1880" s="1100">
        <v>1.0046116284232569</v>
      </c>
      <c r="K1880">
        <v>1.1737985145077392</v>
      </c>
      <c r="L1880">
        <v>0</v>
      </c>
      <c r="M1880">
        <v>7.7757820989364046E-4</v>
      </c>
      <c r="N1880">
        <v>7.1580153165689317E-2</v>
      </c>
      <c r="O1880">
        <v>1.0355161275402177E-2</v>
      </c>
      <c r="P1880">
        <v>1.3922306483461903E-2</v>
      </c>
      <c r="Q1880">
        <v>4.4971859846455774E-4</v>
      </c>
      <c r="R1880">
        <v>7.7580422323390993E-4</v>
      </c>
      <c r="S1880">
        <v>7.1952205913260653E-2</v>
      </c>
      <c r="T1880">
        <v>0.85748043814146291</v>
      </c>
      <c r="U1880">
        <v>0</v>
      </c>
      <c r="V1880">
        <v>9.1660011069084918E-2</v>
      </c>
      <c r="W1880">
        <v>4.7019307664262301E-2</v>
      </c>
      <c r="X1880">
        <v>7.2695028314594878E-3</v>
      </c>
      <c r="Y1880">
        <v>2.1114833518492467E-3</v>
      </c>
    </row>
    <row r="1881" spans="1:25" x14ac:dyDescent="0.25">
      <c r="A1881" s="1096"/>
      <c r="B1881" s="1455">
        <v>1631</v>
      </c>
      <c r="C1881" s="1100">
        <v>0.9914759842605162</v>
      </c>
      <c r="D1881" s="1100">
        <v>1.0302034078609763</v>
      </c>
      <c r="E1881" s="1100">
        <v>1.0153272900475869</v>
      </c>
      <c r="F1881" s="1100">
        <v>0.98922830788650251</v>
      </c>
      <c r="G1881" s="1100">
        <v>1.003093503751781</v>
      </c>
      <c r="H1881" s="1100">
        <v>0.99685182929622629</v>
      </c>
      <c r="I1881" s="1100">
        <v>0.99002448643505914</v>
      </c>
      <c r="K1881">
        <v>1.1381007115037911</v>
      </c>
      <c r="L1881">
        <v>0</v>
      </c>
      <c r="M1881">
        <v>7.7066015133763757E-4</v>
      </c>
      <c r="N1881">
        <v>7.4276221797745526E-2</v>
      </c>
      <c r="O1881">
        <v>1.0319737987340115E-2</v>
      </c>
      <c r="P1881">
        <v>1.3537028010027662E-2</v>
      </c>
      <c r="Q1881">
        <v>4.55043740072388E-4</v>
      </c>
      <c r="R1881">
        <v>7.6894793801817645E-4</v>
      </c>
      <c r="S1881">
        <v>7.1548089789272004E-2</v>
      </c>
      <c r="T1881">
        <v>0.81771808748596764</v>
      </c>
      <c r="U1881">
        <v>0</v>
      </c>
      <c r="V1881">
        <v>9.2443397048338191E-2</v>
      </c>
      <c r="W1881">
        <v>4.8354595954060449E-2</v>
      </c>
      <c r="X1881">
        <v>7.3573991006192782E-3</v>
      </c>
      <c r="Y1881">
        <v>2.0928228036658342E-3</v>
      </c>
    </row>
    <row r="1882" spans="1:25" x14ac:dyDescent="0.25">
      <c r="A1882" s="1096"/>
      <c r="B1882" s="1455">
        <v>1632</v>
      </c>
      <c r="C1882" s="1100">
        <v>1.0292503650714546</v>
      </c>
      <c r="D1882" s="1100">
        <v>0.99267259918359974</v>
      </c>
      <c r="E1882" s="1100">
        <v>0.99990972444380188</v>
      </c>
      <c r="F1882" s="1100">
        <v>1.0023726301512736</v>
      </c>
      <c r="G1882" s="1100">
        <v>1.0033210103421992</v>
      </c>
      <c r="H1882" s="1100">
        <v>1.0104775582077268</v>
      </c>
      <c r="I1882" s="1100">
        <v>0.98348400288396298</v>
      </c>
      <c r="K1882">
        <v>1.1449103092429069</v>
      </c>
      <c r="L1882">
        <v>0</v>
      </c>
      <c r="M1882">
        <v>7.8862818624924995E-4</v>
      </c>
      <c r="N1882">
        <v>7.2552804234628898E-2</v>
      </c>
      <c r="O1882">
        <v>1.0084739037573629E-2</v>
      </c>
      <c r="P1882">
        <v>1.3515598867661845E-2</v>
      </c>
      <c r="Q1882">
        <v>4.3787177890869237E-4</v>
      </c>
      <c r="R1882">
        <v>7.8689967901989508E-4</v>
      </c>
      <c r="S1882">
        <v>7.0297323725310334E-2</v>
      </c>
      <c r="T1882">
        <v>0.82960279961209638</v>
      </c>
      <c r="U1882">
        <v>0</v>
      </c>
      <c r="V1882">
        <v>9.1533333641649436E-2</v>
      </c>
      <c r="W1882">
        <v>4.7664817777770721E-2</v>
      </c>
      <c r="X1882">
        <v>7.0810675496526124E-3</v>
      </c>
      <c r="Y1882">
        <v>2.1416815248826806E-3</v>
      </c>
    </row>
    <row r="1883" spans="1:25" x14ac:dyDescent="0.25">
      <c r="A1883" s="1096"/>
      <c r="B1883" s="1455">
        <v>1633</v>
      </c>
      <c r="C1883" s="1100">
        <v>1.0372150253456884</v>
      </c>
      <c r="D1883" s="1100">
        <v>0.99152714403839459</v>
      </c>
      <c r="E1883" s="1100">
        <v>0.992478475316936</v>
      </c>
      <c r="F1883" s="1100">
        <v>1.0246965978348588</v>
      </c>
      <c r="G1883" s="1100">
        <v>1.0179681602438029</v>
      </c>
      <c r="H1883" s="1100">
        <v>1.0345803590458809</v>
      </c>
      <c r="I1883" s="1100">
        <v>1.0213847692627993</v>
      </c>
      <c r="K1883">
        <v>1.1690106970528411</v>
      </c>
      <c r="L1883">
        <v>0</v>
      </c>
      <c r="M1883">
        <v>8.1405397164177845E-4</v>
      </c>
      <c r="N1883">
        <v>7.3232537737775036E-2</v>
      </c>
      <c r="O1883">
        <v>1.0009570614762545E-2</v>
      </c>
      <c r="P1883">
        <v>1.3746556968226652E-2</v>
      </c>
      <c r="Q1883">
        <v>4.313669082293218E-4</v>
      </c>
      <c r="R1883">
        <v>8.1231130407672845E-4</v>
      </c>
      <c r="S1883">
        <v>7.344880856204837E-2</v>
      </c>
      <c r="T1883">
        <v>0.84858406140246756</v>
      </c>
      <c r="U1883">
        <v>0</v>
      </c>
      <c r="V1883">
        <v>9.1973757059278627E-2</v>
      </c>
      <c r="W1883">
        <v>4.8324988167024387E-2</v>
      </c>
      <c r="X1883">
        <v>7.0499487092454604E-3</v>
      </c>
      <c r="Y1883">
        <v>2.2108435913474334E-3</v>
      </c>
    </row>
    <row r="1884" spans="1:25" x14ac:dyDescent="0.25">
      <c r="A1884" s="1096"/>
      <c r="B1884" s="1455">
        <v>1634</v>
      </c>
      <c r="C1884" s="1100">
        <v>1.0170856805000146</v>
      </c>
      <c r="D1884" s="1100">
        <v>1.0054069393050977</v>
      </c>
      <c r="E1884" s="1100">
        <v>0.96206748436039013</v>
      </c>
      <c r="F1884" s="1100">
        <v>0.97750528776217138</v>
      </c>
      <c r="G1884" s="1100">
        <v>0.96162865367969441</v>
      </c>
      <c r="H1884" s="1100">
        <v>0.99591991128215096</v>
      </c>
      <c r="I1884" s="1100">
        <v>0.9937168426063121</v>
      </c>
      <c r="K1884">
        <v>1.1205077551280276</v>
      </c>
      <c r="L1884">
        <v>0</v>
      </c>
      <c r="M1884">
        <v>8.4626723388281984E-4</v>
      </c>
      <c r="N1884">
        <v>6.9430985444339496E-2</v>
      </c>
      <c r="O1884">
        <v>1.0141340161473117E-2</v>
      </c>
      <c r="P1884">
        <v>1.2879306581119335E-2</v>
      </c>
      <c r="Q1884">
        <v>4.2372315901050521E-4</v>
      </c>
      <c r="R1884">
        <v>8.4438528124890059E-4</v>
      </c>
      <c r="S1884">
        <v>7.0789566056721459E-2</v>
      </c>
      <c r="T1884">
        <v>0.81149334876909562</v>
      </c>
      <c r="U1884">
        <v>0</v>
      </c>
      <c r="V1884">
        <v>9.0033055206796414E-2</v>
      </c>
      <c r="W1884">
        <v>4.6667377511544303E-2</v>
      </c>
      <c r="X1884">
        <v>6.3527958065332435E-3</v>
      </c>
      <c r="Y1884">
        <v>2.2981383840263527E-3</v>
      </c>
    </row>
    <row r="1885" spans="1:25" x14ac:dyDescent="0.25">
      <c r="A1885" s="1096"/>
      <c r="B1885" s="1455">
        <v>1635</v>
      </c>
      <c r="C1885" s="1100">
        <v>0.99252082319709078</v>
      </c>
      <c r="D1885" s="1100">
        <v>0.98492947590375257</v>
      </c>
      <c r="E1885" s="1100">
        <v>0.99602295630972615</v>
      </c>
      <c r="F1885" s="1100">
        <v>0.99802121813102518</v>
      </c>
      <c r="G1885" s="1100">
        <v>1.0437124632967085</v>
      </c>
      <c r="H1885" s="1100">
        <v>1.0082716210850022</v>
      </c>
      <c r="I1885" s="1100">
        <v>0.99824024217889384</v>
      </c>
      <c r="K1885">
        <v>1.1528663537616626</v>
      </c>
      <c r="L1885">
        <v>0</v>
      </c>
      <c r="M1885">
        <v>8.2521146811418398E-4</v>
      </c>
      <c r="N1885">
        <v>7.5031649859346308E-2</v>
      </c>
      <c r="O1885">
        <v>1.0489458200191567E-2</v>
      </c>
      <c r="P1885">
        <v>1.3519538824446193E-2</v>
      </c>
      <c r="Q1885">
        <v>4.5366647961325469E-4</v>
      </c>
      <c r="R1885">
        <v>8.2339882089531779E-4</v>
      </c>
      <c r="S1885">
        <v>7.4194913934753665E-2</v>
      </c>
      <c r="T1885">
        <v>0.82625846963200145</v>
      </c>
      <c r="U1885">
        <v>0</v>
      </c>
      <c r="V1885">
        <v>9.4150784428570652E-2</v>
      </c>
      <c r="W1885">
        <v>4.9407524998568111E-2</v>
      </c>
      <c r="X1885">
        <v>7.1211398942607317E-3</v>
      </c>
      <c r="Y1885">
        <v>2.2410201571286962E-3</v>
      </c>
    </row>
    <row r="1886" spans="1:25" x14ac:dyDescent="0.25">
      <c r="A1886" s="1096"/>
      <c r="B1886" s="1455">
        <v>1636</v>
      </c>
      <c r="C1886" s="1100">
        <v>0.99381763832164405</v>
      </c>
      <c r="D1886" s="1100">
        <v>1.0032407622507522</v>
      </c>
      <c r="E1886" s="1100">
        <v>1.0277750588855876</v>
      </c>
      <c r="F1886" s="1100">
        <v>1.0122142266569991</v>
      </c>
      <c r="G1886" s="1100">
        <v>1.0037311378375817</v>
      </c>
      <c r="H1886" s="1100">
        <v>1.0010858723312204</v>
      </c>
      <c r="I1886" s="1100">
        <v>1.0171276480983784</v>
      </c>
      <c r="K1886">
        <v>1.1627080946509882</v>
      </c>
      <c r="L1886">
        <v>0</v>
      </c>
      <c r="M1886">
        <v>7.6038856522023474E-4</v>
      </c>
      <c r="N1886">
        <v>7.6091025868446002E-2</v>
      </c>
      <c r="O1886">
        <v>1.0409328301196919E-2</v>
      </c>
      <c r="P1886">
        <v>1.3955036862877185E-2</v>
      </c>
      <c r="Q1886">
        <v>4.6470457601733195E-4</v>
      </c>
      <c r="R1886">
        <v>7.5870631798710556E-4</v>
      </c>
      <c r="S1886">
        <v>7.4529438789371502E-2</v>
      </c>
      <c r="T1886">
        <v>0.83589339074835145</v>
      </c>
      <c r="U1886">
        <v>0</v>
      </c>
      <c r="V1886">
        <v>9.2413814016720858E-2</v>
      </c>
      <c r="W1886">
        <v>4.9177045923929699E-2</v>
      </c>
      <c r="X1886">
        <v>7.7110433212189029E-3</v>
      </c>
      <c r="Y1886">
        <v>2.0649484900903945E-3</v>
      </c>
    </row>
    <row r="1887" spans="1:25" x14ac:dyDescent="0.25">
      <c r="A1887" s="1096"/>
      <c r="B1887" s="1455">
        <v>1637</v>
      </c>
      <c r="C1887" s="1100">
        <v>1.0118677617949188</v>
      </c>
      <c r="D1887" s="1100">
        <v>1.01176918199209</v>
      </c>
      <c r="E1887" s="1100">
        <v>0.95130282844399838</v>
      </c>
      <c r="F1887" s="1100">
        <v>0.98347282676871073</v>
      </c>
      <c r="G1887" s="1100">
        <v>1.0206651482371973</v>
      </c>
      <c r="H1887" s="1100">
        <v>0.99897538914376593</v>
      </c>
      <c r="I1887" s="1100">
        <v>0.99899997659773077</v>
      </c>
      <c r="K1887">
        <v>1.129166254891774</v>
      </c>
      <c r="L1887">
        <v>0</v>
      </c>
      <c r="M1887">
        <v>8.7017435855056308E-4</v>
      </c>
      <c r="N1887">
        <v>6.9101216086822542E-2</v>
      </c>
      <c r="O1887">
        <v>1.0164506843870082E-2</v>
      </c>
      <c r="P1887">
        <v>1.2889512920638731E-2</v>
      </c>
      <c r="Q1887">
        <v>4.2000960901071132E-4</v>
      </c>
      <c r="R1887">
        <v>8.6824515936179483E-4</v>
      </c>
      <c r="S1887">
        <v>7.1411392767250031E-2</v>
      </c>
      <c r="T1887">
        <v>0.81716312414654069</v>
      </c>
      <c r="U1887">
        <v>0</v>
      </c>
      <c r="V1887">
        <v>9.2683075006395388E-2</v>
      </c>
      <c r="W1887">
        <v>4.6754286602466749E-2</v>
      </c>
      <c r="X1887">
        <v>6.2179830011239671E-3</v>
      </c>
      <c r="Y1887">
        <v>2.3630771068429445E-3</v>
      </c>
    </row>
    <row r="1888" spans="1:25" x14ac:dyDescent="0.25">
      <c r="A1888" s="1096"/>
      <c r="B1888" s="1455">
        <v>1638</v>
      </c>
      <c r="C1888" s="1100">
        <v>0.99360295509713381</v>
      </c>
      <c r="D1888" s="1100">
        <v>1.0128563765680911</v>
      </c>
      <c r="E1888" s="1100">
        <v>1.0075217386064064</v>
      </c>
      <c r="F1888" s="1100">
        <v>0.98899775325160655</v>
      </c>
      <c r="G1888" s="1100">
        <v>0.99504230439996244</v>
      </c>
      <c r="H1888" s="1100">
        <v>1.0260351857480552</v>
      </c>
      <c r="I1888" s="1100">
        <v>0.98503349798078987</v>
      </c>
      <c r="K1888">
        <v>1.1427623325903629</v>
      </c>
      <c r="L1888">
        <v>0</v>
      </c>
      <c r="M1888">
        <v>8.0994960755509349E-4</v>
      </c>
      <c r="N1888">
        <v>7.6249912455160565E-2</v>
      </c>
      <c r="O1888">
        <v>1.0365271547816527E-2</v>
      </c>
      <c r="P1888">
        <v>1.347545843680124E-2</v>
      </c>
      <c r="Q1888">
        <v>4.5350192306250049E-4</v>
      </c>
      <c r="R1888">
        <v>8.0820128595604404E-4</v>
      </c>
      <c r="S1888">
        <v>7.2818654687880721E-2</v>
      </c>
      <c r="T1888">
        <v>0.81803572752270715</v>
      </c>
      <c r="U1888">
        <v>0</v>
      </c>
      <c r="V1888">
        <v>9.2044458818993841E-2</v>
      </c>
      <c r="W1888">
        <v>4.9868236842265788E-2</v>
      </c>
      <c r="X1888">
        <v>7.2532012003818048E-3</v>
      </c>
      <c r="Y1888">
        <v>2.199657476890039E-3</v>
      </c>
    </row>
    <row r="1889" spans="1:25" x14ac:dyDescent="0.25">
      <c r="A1889" s="1096"/>
      <c r="B1889" s="1455">
        <v>1639</v>
      </c>
      <c r="C1889" s="1100">
        <v>1.0060605734373211</v>
      </c>
      <c r="D1889" s="1100">
        <v>0.99003597274769484</v>
      </c>
      <c r="E1889" s="1100">
        <v>0.99920659249761112</v>
      </c>
      <c r="F1889" s="1100">
        <v>0.98167494530891863</v>
      </c>
      <c r="G1889" s="1100">
        <v>1.0238025633697201</v>
      </c>
      <c r="H1889" s="1100">
        <v>0.99726892441362391</v>
      </c>
      <c r="I1889" s="1100">
        <v>0.99834569152410502</v>
      </c>
      <c r="K1889">
        <v>1.1328209337168702</v>
      </c>
      <c r="L1889">
        <v>0</v>
      </c>
      <c r="M1889">
        <v>7.9827074271284339E-4</v>
      </c>
      <c r="N1889">
        <v>7.3281926423561947E-2</v>
      </c>
      <c r="O1889">
        <v>1.0327945353137068E-2</v>
      </c>
      <c r="P1889">
        <v>1.332623661621289E-2</v>
      </c>
      <c r="Q1889">
        <v>4.4811470896276062E-4</v>
      </c>
      <c r="R1889">
        <v>7.9649792736106659E-4</v>
      </c>
      <c r="S1889">
        <v>7.2567891874523463E-2</v>
      </c>
      <c r="T1889">
        <v>0.81251829349376836</v>
      </c>
      <c r="U1889">
        <v>0</v>
      </c>
      <c r="V1889">
        <v>9.2963908339010887E-2</v>
      </c>
      <c r="W1889">
        <v>4.8163957875219793E-2</v>
      </c>
      <c r="X1889">
        <v>7.0566270550174162E-3</v>
      </c>
      <c r="Y1889">
        <v>2.1678047928056351E-3</v>
      </c>
    </row>
    <row r="1890" spans="1:25" x14ac:dyDescent="0.25">
      <c r="A1890" s="1096"/>
      <c r="B1890" s="1455">
        <v>1640</v>
      </c>
      <c r="C1890" s="1100">
        <v>0.98934327784880804</v>
      </c>
      <c r="D1890" s="1100">
        <v>0.99665328258549624</v>
      </c>
      <c r="E1890" s="1100">
        <v>0.97761250085966567</v>
      </c>
      <c r="F1890" s="1100">
        <v>1.0430301922560758</v>
      </c>
      <c r="G1890" s="1100">
        <v>1.0282150164050781</v>
      </c>
      <c r="H1890" s="1100">
        <v>1.0206925690587818</v>
      </c>
      <c r="I1890" s="1100">
        <v>1.0013131244039757</v>
      </c>
      <c r="K1890">
        <v>1.1912870273070961</v>
      </c>
      <c r="L1890">
        <v>0</v>
      </c>
      <c r="M1890">
        <v>8.6650420202667646E-4</v>
      </c>
      <c r="N1890">
        <v>7.4521540992614238E-2</v>
      </c>
      <c r="O1890">
        <v>1.046737188121513E-2</v>
      </c>
      <c r="P1890">
        <v>1.3848230531465814E-2</v>
      </c>
      <c r="Q1890">
        <v>4.4435012846829952E-4</v>
      </c>
      <c r="R1890">
        <v>8.6462401393369679E-4</v>
      </c>
      <c r="S1890">
        <v>7.4700392402499663E-2</v>
      </c>
      <c r="T1890">
        <v>0.86480075239248022</v>
      </c>
      <c r="U1890">
        <v>0</v>
      </c>
      <c r="V1890">
        <v>9.3566075478208111E-2</v>
      </c>
      <c r="W1890">
        <v>4.9617215270346383E-2</v>
      </c>
      <c r="X1890">
        <v>6.9697568751915908E-3</v>
      </c>
      <c r="Y1890">
        <v>2.3532215426979313E-3</v>
      </c>
    </row>
    <row r="1891" spans="1:25" x14ac:dyDescent="0.25">
      <c r="A1891" s="1096"/>
      <c r="B1891" s="1455">
        <v>1641</v>
      </c>
      <c r="C1891" s="1100">
        <v>0.99816133343918234</v>
      </c>
      <c r="D1891" s="1100">
        <v>0.99366888353626215</v>
      </c>
      <c r="E1891" s="1100">
        <v>1.0327711275449172</v>
      </c>
      <c r="F1891" s="1100">
        <v>1.0186076476894816</v>
      </c>
      <c r="G1891" s="1100">
        <v>1.014803398244746</v>
      </c>
      <c r="H1891" s="1100">
        <v>1.0016248084723725</v>
      </c>
      <c r="I1891" s="1100">
        <v>1.036949726280159</v>
      </c>
      <c r="K1891">
        <v>1.1702350619369726</v>
      </c>
      <c r="L1891">
        <v>0</v>
      </c>
      <c r="M1891">
        <v>7.5252194907930465E-4</v>
      </c>
      <c r="N1891">
        <v>7.6446628369712472E-2</v>
      </c>
      <c r="O1891">
        <v>1.0405499258422537E-2</v>
      </c>
      <c r="P1891">
        <v>1.4101318554373014E-2</v>
      </c>
      <c r="Q1891">
        <v>4.6683357144040378E-4</v>
      </c>
      <c r="R1891">
        <v>7.5085800135970388E-4</v>
      </c>
      <c r="S1891">
        <v>7.605343266271232E-2</v>
      </c>
      <c r="T1891">
        <v>0.84084119622292219</v>
      </c>
      <c r="U1891">
        <v>0</v>
      </c>
      <c r="V1891">
        <v>9.2779248899049663E-2</v>
      </c>
      <c r="W1891">
        <v>4.926382248101932E-2</v>
      </c>
      <c r="X1891">
        <v>7.8351579056135153E-3</v>
      </c>
      <c r="Y1891">
        <v>2.0435879594274879E-3</v>
      </c>
    </row>
    <row r="1892" spans="1:25" x14ac:dyDescent="0.25">
      <c r="A1892" s="1096"/>
      <c r="B1892" s="1455">
        <v>1642</v>
      </c>
      <c r="C1892" s="1100">
        <v>0.98566161494997018</v>
      </c>
      <c r="D1892" s="1100">
        <v>0.96830383373030315</v>
      </c>
      <c r="E1892" s="1100">
        <v>1.0013343476846119</v>
      </c>
      <c r="F1892" s="1100">
        <v>0.96194737016161302</v>
      </c>
      <c r="G1892" s="1100">
        <v>1.0172554111013901</v>
      </c>
      <c r="H1892" s="1100">
        <v>0.99949079097485494</v>
      </c>
      <c r="I1892" s="1100">
        <v>0.98298987273722227</v>
      </c>
      <c r="K1892">
        <v>1.1222102462967298</v>
      </c>
      <c r="L1892">
        <v>0</v>
      </c>
      <c r="M1892">
        <v>8.2026059480402749E-4</v>
      </c>
      <c r="N1892">
        <v>7.5786600851584479E-2</v>
      </c>
      <c r="O1892">
        <v>1.0636412500268439E-2</v>
      </c>
      <c r="P1892">
        <v>1.3143598825683915E-2</v>
      </c>
      <c r="Q1892">
        <v>4.6248660547079412E-4</v>
      </c>
      <c r="R1892">
        <v>8.1844299348377675E-4</v>
      </c>
      <c r="S1892">
        <v>7.3861208806481754E-2</v>
      </c>
      <c r="T1892">
        <v>0.79605457287011727</v>
      </c>
      <c r="U1892">
        <v>0</v>
      </c>
      <c r="V1892">
        <v>9.3194102883656149E-2</v>
      </c>
      <c r="W1892">
        <v>4.9747197322881603E-2</v>
      </c>
      <c r="X1892">
        <v>7.0983512033027151E-3</v>
      </c>
      <c r="Y1892">
        <v>2.2275320286025482E-3</v>
      </c>
    </row>
    <row r="1893" spans="1:25" x14ac:dyDescent="0.25">
      <c r="A1893" s="1096"/>
      <c r="B1893" s="1455">
        <v>1643</v>
      </c>
      <c r="C1893" s="1100">
        <v>1.0214669743513425</v>
      </c>
      <c r="D1893" s="1100">
        <v>1.0325587462964088</v>
      </c>
      <c r="E1893" s="1100">
        <v>1.0102541281603965</v>
      </c>
      <c r="F1893" s="1100">
        <v>0.98863138276865437</v>
      </c>
      <c r="G1893" s="1100">
        <v>0.99451027884172449</v>
      </c>
      <c r="H1893" s="1100">
        <v>1.0166384727181772</v>
      </c>
      <c r="I1893" s="1100">
        <v>0.98324779546426377</v>
      </c>
      <c r="K1893">
        <v>1.1325632399187879</v>
      </c>
      <c r="L1893">
        <v>0</v>
      </c>
      <c r="M1893">
        <v>7.7026327757966475E-4</v>
      </c>
      <c r="N1893">
        <v>7.3113012974594063E-2</v>
      </c>
      <c r="O1893">
        <v>1.0005989376470341E-2</v>
      </c>
      <c r="P1893">
        <v>1.3442933122715692E-2</v>
      </c>
      <c r="Q1893">
        <v>4.3898072152569927E-4</v>
      </c>
      <c r="R1893">
        <v>7.6858525333848324E-4</v>
      </c>
      <c r="S1893">
        <v>6.9650797850798599E-2</v>
      </c>
      <c r="T1893">
        <v>0.81755462648142052</v>
      </c>
      <c r="U1893">
        <v>0</v>
      </c>
      <c r="V1893">
        <v>9.1341655993334644E-2</v>
      </c>
      <c r="W1893">
        <v>4.7739623084964447E-2</v>
      </c>
      <c r="X1893">
        <v>7.1854626416796227E-3</v>
      </c>
      <c r="Y1893">
        <v>2.0918356955266812E-3</v>
      </c>
    </row>
    <row r="1894" spans="1:25" x14ac:dyDescent="0.25">
      <c r="A1894" s="1096"/>
      <c r="B1894" s="1455">
        <v>1644</v>
      </c>
      <c r="C1894" s="1100">
        <v>0.97100833746337245</v>
      </c>
      <c r="D1894" s="1100">
        <v>0.9768186107572161</v>
      </c>
      <c r="E1894" s="1100">
        <v>1.0132123585012098</v>
      </c>
      <c r="F1894" s="1100">
        <v>0.99815450840696163</v>
      </c>
      <c r="G1894" s="1100">
        <v>1.0413275956362706</v>
      </c>
      <c r="H1894" s="1100">
        <v>1.0339963549934619</v>
      </c>
      <c r="I1894" s="1100">
        <v>0.99016738861668885</v>
      </c>
      <c r="K1894">
        <v>1.1637300898868643</v>
      </c>
      <c r="L1894">
        <v>0</v>
      </c>
      <c r="M1894">
        <v>8.3745909176001249E-4</v>
      </c>
      <c r="N1894">
        <v>8.0207162114886724E-2</v>
      </c>
      <c r="O1894">
        <v>1.0763225396339721E-2</v>
      </c>
      <c r="P1894">
        <v>1.3719410490853592E-2</v>
      </c>
      <c r="Q1894">
        <v>4.7359913129924129E-4</v>
      </c>
      <c r="R1894">
        <v>8.3566530765282658E-4</v>
      </c>
      <c r="S1894">
        <v>7.6643835724257356E-2</v>
      </c>
      <c r="T1894">
        <v>0.82523546712732254</v>
      </c>
      <c r="U1894">
        <v>0</v>
      </c>
      <c r="V1894">
        <v>9.4604357523246252E-2</v>
      </c>
      <c r="W1894">
        <v>5.2280641264823277E-2</v>
      </c>
      <c r="X1894">
        <v>7.52977940750726E-3</v>
      </c>
      <c r="Y1894">
        <v>2.2744054904363623E-3</v>
      </c>
    </row>
    <row r="1895" spans="1:25" x14ac:dyDescent="0.25">
      <c r="A1895" s="1096"/>
      <c r="B1895" s="1455">
        <v>1645</v>
      </c>
      <c r="C1895" s="1100">
        <v>0.99493114651031989</v>
      </c>
      <c r="D1895" s="1100">
        <v>0.98881171400625856</v>
      </c>
      <c r="E1895" s="1100">
        <v>1.0120660227382321</v>
      </c>
      <c r="F1895" s="1100">
        <v>0.97575744144362875</v>
      </c>
      <c r="G1895" s="1100">
        <v>0.97887481236343421</v>
      </c>
      <c r="H1895" s="1100">
        <v>1.0213128850508504</v>
      </c>
      <c r="I1895" s="1100">
        <v>1.029070525863746</v>
      </c>
      <c r="K1895">
        <v>1.1356431293932099</v>
      </c>
      <c r="L1895">
        <v>0</v>
      </c>
      <c r="M1895">
        <v>8.0528231867204626E-4</v>
      </c>
      <c r="N1895">
        <v>7.6856999570400722E-2</v>
      </c>
      <c r="O1895">
        <v>1.0452898356024429E-2</v>
      </c>
      <c r="P1895">
        <v>1.340996183857315E-2</v>
      </c>
      <c r="Q1895">
        <v>4.5941825304964044E-4</v>
      </c>
      <c r="R1895">
        <v>8.0353603444903161E-4</v>
      </c>
      <c r="S1895">
        <v>7.6718289483252475E-2</v>
      </c>
      <c r="T1895">
        <v>0.80679203507480812</v>
      </c>
      <c r="U1895">
        <v>0</v>
      </c>
      <c r="V1895">
        <v>9.1320807794815065E-2</v>
      </c>
      <c r="W1895">
        <v>5.0130742890558785E-2</v>
      </c>
      <c r="X1895">
        <v>7.3167622157622415E-3</v>
      </c>
      <c r="Y1895">
        <v>2.1869602001876975E-3</v>
      </c>
    </row>
    <row r="1896" spans="1:25" x14ac:dyDescent="0.25">
      <c r="A1896" s="1096"/>
      <c r="B1896" s="1455">
        <v>1646</v>
      </c>
      <c r="C1896" s="1100">
        <v>1.0152780495277041</v>
      </c>
      <c r="D1896" s="1100">
        <v>1.0007318440717929</v>
      </c>
      <c r="E1896" s="1100">
        <v>1.04308416375873</v>
      </c>
      <c r="F1896" s="1100">
        <v>1.0250762373599536</v>
      </c>
      <c r="G1896" s="1100">
        <v>1.0125227711641163</v>
      </c>
      <c r="H1896" s="1100">
        <v>0.97685720046939728</v>
      </c>
      <c r="I1896" s="1100">
        <v>1.0141075973754228</v>
      </c>
      <c r="K1896">
        <v>1.1654043388175979</v>
      </c>
      <c r="L1896">
        <v>0</v>
      </c>
      <c r="M1896">
        <v>7.0418464728774332E-4</v>
      </c>
      <c r="N1896">
        <v>7.3789646433493838E-2</v>
      </c>
      <c r="O1896">
        <v>1.0204471889643511E-2</v>
      </c>
      <c r="P1896">
        <v>1.4205943405506271E-2</v>
      </c>
      <c r="Q1896">
        <v>4.6248617265417678E-4</v>
      </c>
      <c r="R1896">
        <v>7.0258810271376444E-4</v>
      </c>
      <c r="S1896">
        <v>7.1864089056918379E-2</v>
      </c>
      <c r="T1896">
        <v>0.84549399646658496</v>
      </c>
      <c r="U1896">
        <v>0</v>
      </c>
      <c r="V1896">
        <v>9.2264688374592882E-2</v>
      </c>
      <c r="W1896">
        <v>4.7269543806484876E-2</v>
      </c>
      <c r="X1896">
        <v>7.9388565488108763E-3</v>
      </c>
      <c r="Y1896">
        <v>1.9122132074810532E-3</v>
      </c>
    </row>
    <row r="1897" spans="1:25" x14ac:dyDescent="0.25">
      <c r="A1897" s="1096"/>
      <c r="B1897" s="1455">
        <v>1647</v>
      </c>
      <c r="C1897" s="1100">
        <v>1.0036961096314665</v>
      </c>
      <c r="D1897" s="1100">
        <v>1.0167466580163489</v>
      </c>
      <c r="E1897" s="1100">
        <v>0.99347867507445486</v>
      </c>
      <c r="F1897" s="1100">
        <v>0.95962356985968233</v>
      </c>
      <c r="G1897" s="1100">
        <v>0.95508490606347662</v>
      </c>
      <c r="H1897" s="1100">
        <v>0.99906998243543443</v>
      </c>
      <c r="I1897" s="1100">
        <v>0.9561062297103744</v>
      </c>
      <c r="K1897">
        <v>1.1062798455583869</v>
      </c>
      <c r="L1897">
        <v>0</v>
      </c>
      <c r="M1897">
        <v>8.0257962032619188E-4</v>
      </c>
      <c r="N1897">
        <v>7.241339871658721E-2</v>
      </c>
      <c r="O1897">
        <v>1.0240766724846166E-2</v>
      </c>
      <c r="P1897">
        <v>1.2935965826611027E-2</v>
      </c>
      <c r="Q1897">
        <v>4.4177606658873795E-4</v>
      </c>
      <c r="R1897">
        <v>8.0080044890070855E-4</v>
      </c>
      <c r="S1897">
        <v>6.8778618825208054E-2</v>
      </c>
      <c r="T1897">
        <v>0.79463124086665027</v>
      </c>
      <c r="U1897">
        <v>0</v>
      </c>
      <c r="V1897">
        <v>9.0083002873834472E-2</v>
      </c>
      <c r="W1897">
        <v>4.7755895728462318E-2</v>
      </c>
      <c r="X1897">
        <v>6.8214442629129434E-3</v>
      </c>
      <c r="Y1897">
        <v>2.1795148381106959E-3</v>
      </c>
    </row>
    <row r="1898" spans="1:25" x14ac:dyDescent="0.25">
      <c r="A1898" s="1096"/>
      <c r="B1898" s="1455">
        <v>1648</v>
      </c>
      <c r="C1898" s="1100">
        <v>0.98624488545513822</v>
      </c>
      <c r="D1898" s="1100">
        <v>0.95099662334740409</v>
      </c>
      <c r="E1898" s="1100">
        <v>0.96355314319148155</v>
      </c>
      <c r="F1898" s="1100">
        <v>1.0197006245664006</v>
      </c>
      <c r="G1898" s="1100">
        <v>1.0061000973262766</v>
      </c>
      <c r="H1898" s="1100">
        <v>1.0125826358676544</v>
      </c>
      <c r="I1898" s="1100">
        <v>1.0377047437065219</v>
      </c>
      <c r="K1898">
        <v>1.1766974785707542</v>
      </c>
      <c r="L1898">
        <v>0</v>
      </c>
      <c r="M1898">
        <v>9.0452601671169063E-4</v>
      </c>
      <c r="N1898">
        <v>7.4548251599872065E-2</v>
      </c>
      <c r="O1898">
        <v>1.0694330260165285E-2</v>
      </c>
      <c r="P1898">
        <v>1.3503879422672352E-2</v>
      </c>
      <c r="Q1898">
        <v>4.4750980338856679E-4</v>
      </c>
      <c r="R1898">
        <v>9.0254760731944741E-4</v>
      </c>
      <c r="S1898">
        <v>7.9176434843885646E-2</v>
      </c>
      <c r="T1898">
        <v>0.84642043852951798</v>
      </c>
      <c r="U1898">
        <v>0</v>
      </c>
      <c r="V1898">
        <v>9.2697146074632628E-2</v>
      </c>
      <c r="W1898">
        <v>5.0061352715394594E-2</v>
      </c>
      <c r="X1898">
        <v>6.6936766682334347E-3</v>
      </c>
      <c r="Y1898">
        <v>2.4564370623847451E-3</v>
      </c>
    </row>
    <row r="1899" spans="1:25" x14ac:dyDescent="0.25">
      <c r="A1899" s="1096"/>
      <c r="B1899" s="1455">
        <v>1649</v>
      </c>
      <c r="C1899" s="1100">
        <v>1.0109415714972152</v>
      </c>
      <c r="D1899" s="1100">
        <v>0.97182081833707279</v>
      </c>
      <c r="E1899" s="1100">
        <v>1.0027379079586534</v>
      </c>
      <c r="F1899" s="1100">
        <v>0.98518238230000077</v>
      </c>
      <c r="G1899" s="1100">
        <v>0.98187995915160087</v>
      </c>
      <c r="H1899" s="1100">
        <v>0.99153195320107812</v>
      </c>
      <c r="I1899" s="1100">
        <v>1.0414651499918579</v>
      </c>
      <c r="K1899">
        <v>1.1369354766386182</v>
      </c>
      <c r="L1899">
        <v>0</v>
      </c>
      <c r="M1899">
        <v>7.8992693973393762E-4</v>
      </c>
      <c r="N1899">
        <v>7.3292763271193467E-2</v>
      </c>
      <c r="O1899">
        <v>1.0355866033022311E-2</v>
      </c>
      <c r="P1899">
        <v>1.3416260848173768E-2</v>
      </c>
      <c r="Q1899">
        <v>4.5092305089064174E-4</v>
      </c>
      <c r="R1899">
        <v>7.8816250422700219E-4</v>
      </c>
      <c r="S1899">
        <v>7.5820332327780349E-2</v>
      </c>
      <c r="T1899">
        <v>0.81519113276264643</v>
      </c>
      <c r="U1899">
        <v>0</v>
      </c>
      <c r="V1899">
        <v>9.1053181809096759E-2</v>
      </c>
      <c r="W1899">
        <v>4.8070161243243606E-2</v>
      </c>
      <c r="X1899">
        <v>7.1415012092713899E-3</v>
      </c>
      <c r="Y1899">
        <v>2.1451185188062095E-3</v>
      </c>
    </row>
    <row r="1900" spans="1:25" x14ac:dyDescent="0.25">
      <c r="A1900" s="1096"/>
      <c r="B1900" s="1455">
        <v>1650</v>
      </c>
      <c r="C1900" s="1100">
        <v>0.99299975552137598</v>
      </c>
      <c r="D1900" s="1100">
        <v>0.99164736686019217</v>
      </c>
      <c r="E1900" s="1100">
        <v>1.0344142062828723</v>
      </c>
      <c r="F1900" s="1100">
        <v>0.980165724136562</v>
      </c>
      <c r="G1900" s="1100">
        <v>1.0249972274232497</v>
      </c>
      <c r="H1900" s="1100">
        <v>0.97870863547071951</v>
      </c>
      <c r="I1900" s="1100">
        <v>1.0047019070800358</v>
      </c>
      <c r="K1900">
        <v>1.1335368256039329</v>
      </c>
      <c r="L1900">
        <v>0</v>
      </c>
      <c r="M1900">
        <v>7.3719970871598088E-4</v>
      </c>
      <c r="N1900">
        <v>7.5257945211678293E-2</v>
      </c>
      <c r="O1900">
        <v>1.0468656529267577E-2</v>
      </c>
      <c r="P1900">
        <v>1.364103731007694E-2</v>
      </c>
      <c r="Q1900">
        <v>4.7042915771086565E-4</v>
      </c>
      <c r="R1900">
        <v>7.3553147339328322E-4</v>
      </c>
      <c r="S1900">
        <v>7.3203763421556114E-2</v>
      </c>
      <c r="T1900">
        <v>0.80900325254112382</v>
      </c>
      <c r="U1900">
        <v>0</v>
      </c>
      <c r="V1900">
        <v>9.334425017320655E-2</v>
      </c>
      <c r="W1900">
        <v>4.8451706405591828E-2</v>
      </c>
      <c r="X1900">
        <v>7.6955788863525562E-3</v>
      </c>
      <c r="Y1900">
        <v>2.0018742026914772E-3</v>
      </c>
    </row>
    <row r="1901" spans="1:25" x14ac:dyDescent="0.25">
      <c r="A1901" s="1096"/>
      <c r="B1901" s="1455">
        <v>1651</v>
      </c>
      <c r="C1901" s="1100">
        <v>1.0226161465477392</v>
      </c>
      <c r="D1901" s="1100">
        <v>1.0068270636733407</v>
      </c>
      <c r="E1901" s="1100">
        <v>1.0392994353384768</v>
      </c>
      <c r="F1901" s="1100">
        <v>1.0144110811083955</v>
      </c>
      <c r="G1901" s="1100">
        <v>1.0363958311947961</v>
      </c>
      <c r="H1901" s="1100">
        <v>1.0138662660966464</v>
      </c>
      <c r="I1901" s="1100">
        <v>0.98290249193194679</v>
      </c>
      <c r="K1901">
        <v>1.1589697270928447</v>
      </c>
      <c r="L1901">
        <v>0</v>
      </c>
      <c r="M1901">
        <v>7.2959922894172359E-4</v>
      </c>
      <c r="N1901">
        <v>7.5592431230714602E-2</v>
      </c>
      <c r="O1901">
        <v>1.0105453033198718E-2</v>
      </c>
      <c r="P1901">
        <v>1.4038321235814121E-2</v>
      </c>
      <c r="Q1901">
        <v>4.5629828812835895E-4</v>
      </c>
      <c r="R1901">
        <v>7.2800544564490151E-4</v>
      </c>
      <c r="S1901">
        <v>7.0377084654825769E-2</v>
      </c>
      <c r="T1901">
        <v>0.8369463118006506</v>
      </c>
      <c r="U1901">
        <v>0</v>
      </c>
      <c r="V1901">
        <v>9.3108836912672743E-2</v>
      </c>
      <c r="W1901">
        <v>4.8529976740596177E-2</v>
      </c>
      <c r="X1901">
        <v>7.8352161434242264E-3</v>
      </c>
      <c r="Y1901">
        <v>1.9813908361147629E-3</v>
      </c>
    </row>
    <row r="1902" spans="1:25" x14ac:dyDescent="0.25">
      <c r="A1902" s="1096"/>
      <c r="B1902" s="1455">
        <v>1652</v>
      </c>
      <c r="C1902" s="1100">
        <v>1.032129277450019</v>
      </c>
      <c r="D1902" s="1100">
        <v>1.0313139326965843</v>
      </c>
      <c r="E1902" s="1100">
        <v>0.9774707718368395</v>
      </c>
      <c r="F1902" s="1100">
        <v>1.0008161478478648</v>
      </c>
      <c r="G1902" s="1100">
        <v>0.97459112636521816</v>
      </c>
      <c r="H1902" s="1100">
        <v>1.0028372006764676</v>
      </c>
      <c r="I1902" s="1100">
        <v>1.0310740500990931</v>
      </c>
      <c r="K1902">
        <v>1.1395372792343255</v>
      </c>
      <c r="L1902">
        <v>0</v>
      </c>
      <c r="M1902">
        <v>8.0520706918592322E-4</v>
      </c>
      <c r="N1902">
        <v>6.9217458335997392E-2</v>
      </c>
      <c r="O1902">
        <v>9.8971444616793944E-3</v>
      </c>
      <c r="P1902">
        <v>1.3293363331921618E-2</v>
      </c>
      <c r="Q1902">
        <v>4.2008281781970091E-4</v>
      </c>
      <c r="R1902">
        <v>8.0342877863428586E-4</v>
      </c>
      <c r="S1902">
        <v>7.1736753866304931E-2</v>
      </c>
      <c r="T1902">
        <v>0.82980959372078855</v>
      </c>
      <c r="U1902">
        <v>0</v>
      </c>
      <c r="V1902">
        <v>9.0234631222631978E-2</v>
      </c>
      <c r="W1902">
        <v>4.6089653845307749E-2</v>
      </c>
      <c r="X1902">
        <v>6.6537076372086869E-3</v>
      </c>
      <c r="Y1902">
        <v>2.186668285216829E-3</v>
      </c>
    </row>
    <row r="1903" spans="1:25" x14ac:dyDescent="0.25">
      <c r="A1903" s="1096"/>
      <c r="B1903" s="1455">
        <v>1653</v>
      </c>
      <c r="C1903" s="1100">
        <v>1.0030040414551571</v>
      </c>
      <c r="D1903" s="1100">
        <v>0.97950780838529394</v>
      </c>
      <c r="E1903" s="1100">
        <v>1.001617737638306</v>
      </c>
      <c r="F1903" s="1100">
        <v>0.99330882926836139</v>
      </c>
      <c r="G1903" s="1100">
        <v>1.0066865234919591</v>
      </c>
      <c r="H1903" s="1100">
        <v>0.96844866980953048</v>
      </c>
      <c r="I1903" s="1100">
        <v>0.97943866618240494</v>
      </c>
      <c r="K1903">
        <v>1.1374917539114717</v>
      </c>
      <c r="L1903">
        <v>0</v>
      </c>
      <c r="M1903">
        <v>7.7699990571223601E-4</v>
      </c>
      <c r="N1903">
        <v>7.1845972040610204E-2</v>
      </c>
      <c r="O1903">
        <v>1.0404608066891752E-2</v>
      </c>
      <c r="P1903">
        <v>1.3444356942165366E-2</v>
      </c>
      <c r="Q1903">
        <v>4.5253619814740839E-4</v>
      </c>
      <c r="R1903">
        <v>7.752229772777765E-4</v>
      </c>
      <c r="S1903">
        <v>7.0652242093610235E-2</v>
      </c>
      <c r="T1903">
        <v>0.82198896344830119</v>
      </c>
      <c r="U1903">
        <v>0</v>
      </c>
      <c r="V1903">
        <v>9.2307547748733093E-2</v>
      </c>
      <c r="W1903">
        <v>4.7152589804274156E-2</v>
      </c>
      <c r="X1903">
        <v>7.1348131052069415E-3</v>
      </c>
      <c r="Y1903">
        <v>2.1099013919643294E-3</v>
      </c>
    </row>
    <row r="1904" spans="1:25" x14ac:dyDescent="0.25">
      <c r="A1904" s="1096"/>
      <c r="B1904" s="1455">
        <v>1654</v>
      </c>
      <c r="C1904" s="1100">
        <v>1.0084905731229488</v>
      </c>
      <c r="D1904" s="1100">
        <v>1.0337225746416336</v>
      </c>
      <c r="E1904" s="1100">
        <v>0.99102530922436738</v>
      </c>
      <c r="F1904" s="1100">
        <v>1.0085834679990087</v>
      </c>
      <c r="G1904" s="1100">
        <v>1.0174673318725838</v>
      </c>
      <c r="H1904" s="1100">
        <v>0.96881085130505296</v>
      </c>
      <c r="I1904" s="1100">
        <v>0.95789135018868743</v>
      </c>
      <c r="K1904">
        <v>1.1428789668831707</v>
      </c>
      <c r="L1904">
        <v>0</v>
      </c>
      <c r="M1904">
        <v>7.7337936189564977E-4</v>
      </c>
      <c r="N1904">
        <v>6.9258384528936401E-2</v>
      </c>
      <c r="O1904">
        <v>1.0124013348449026E-2</v>
      </c>
      <c r="P1904">
        <v>1.3471576623019139E-2</v>
      </c>
      <c r="Q1904">
        <v>4.3565912071177496E-4</v>
      </c>
      <c r="R1904">
        <v>7.7161137451095389E-4</v>
      </c>
      <c r="S1904">
        <v>6.6843276083329448E-2</v>
      </c>
      <c r="T1904">
        <v>0.8353376864001939</v>
      </c>
      <c r="U1904">
        <v>0</v>
      </c>
      <c r="V1904">
        <v>9.2632628822891139E-2</v>
      </c>
      <c r="W1904">
        <v>4.5742255418698176E-2</v>
      </c>
      <c r="X1904">
        <v>6.9351827245275792E-3</v>
      </c>
      <c r="Y1904">
        <v>2.1000717997975708E-3</v>
      </c>
    </row>
    <row r="1905" spans="1:25" x14ac:dyDescent="0.25">
      <c r="A1905" s="1096"/>
      <c r="B1905" s="1455">
        <v>1655</v>
      </c>
      <c r="C1905" s="1100">
        <v>1.0146386621107863</v>
      </c>
      <c r="D1905" s="1100">
        <v>1.0046804329210692</v>
      </c>
      <c r="E1905" s="1100">
        <v>0.95746292105184583</v>
      </c>
      <c r="F1905" s="1100">
        <v>1.0206465857563221</v>
      </c>
      <c r="G1905" s="1100">
        <v>1.0046218251515795</v>
      </c>
      <c r="H1905" s="1100">
        <v>1.003428261301766</v>
      </c>
      <c r="I1905" s="1100">
        <v>1.0107903588017362</v>
      </c>
      <c r="K1905">
        <v>1.1617143636486176</v>
      </c>
      <c r="L1905">
        <v>0</v>
      </c>
      <c r="M1905">
        <v>8.6310302583304408E-4</v>
      </c>
      <c r="N1905">
        <v>6.9832267339876866E-2</v>
      </c>
      <c r="O1905">
        <v>1.0167265255872132E-2</v>
      </c>
      <c r="P1905">
        <v>1.335797035863809E-2</v>
      </c>
      <c r="Q1905">
        <v>4.228004116175799E-4</v>
      </c>
      <c r="R1905">
        <v>8.6119799552979636E-4</v>
      </c>
      <c r="S1905">
        <v>7.250449050568307E-2</v>
      </c>
      <c r="T1905">
        <v>0.84762511415510444</v>
      </c>
      <c r="U1905">
        <v>0</v>
      </c>
      <c r="V1905">
        <v>9.1930458790263889E-2</v>
      </c>
      <c r="W1905">
        <v>4.7069898334518884E-2</v>
      </c>
      <c r="X1905">
        <v>6.4621064773562791E-3</v>
      </c>
      <c r="Y1905">
        <v>2.3438970499891783E-3</v>
      </c>
    </row>
    <row r="1906" spans="1:25" x14ac:dyDescent="0.25">
      <c r="A1906" s="1096"/>
      <c r="B1906" s="1455">
        <v>1656</v>
      </c>
      <c r="C1906" s="1100">
        <v>0.99739803943934457</v>
      </c>
      <c r="D1906" s="1100">
        <v>1.0087966730337499</v>
      </c>
      <c r="E1906" s="1100">
        <v>0.96706860219398627</v>
      </c>
      <c r="F1906" s="1100">
        <v>0.98276946321237568</v>
      </c>
      <c r="G1906" s="1100">
        <v>1.0012843535284877</v>
      </c>
      <c r="H1906" s="1100">
        <v>0.98754733529377836</v>
      </c>
      <c r="I1906" s="1100">
        <v>1.0236664087420049</v>
      </c>
      <c r="K1906">
        <v>1.1319193482319079</v>
      </c>
      <c r="L1906">
        <v>0</v>
      </c>
      <c r="M1906">
        <v>8.4579553941109694E-4</v>
      </c>
      <c r="N1906">
        <v>7.045017266867748E-2</v>
      </c>
      <c r="O1906">
        <v>1.0329232223552077E-2</v>
      </c>
      <c r="P1906">
        <v>1.3053056485024268E-2</v>
      </c>
      <c r="Q1906">
        <v>4.3379200504624452E-4</v>
      </c>
      <c r="R1906">
        <v>8.4389868915810649E-4</v>
      </c>
      <c r="S1906">
        <v>7.3891892751314761E-2</v>
      </c>
      <c r="T1906">
        <v>0.81553247241451587</v>
      </c>
      <c r="U1906">
        <v>0</v>
      </c>
      <c r="V1906">
        <v>9.2210740784983217E-2</v>
      </c>
      <c r="W1906">
        <v>4.7207878493684463E-2</v>
      </c>
      <c r="X1906">
        <v>6.5151932146017008E-3</v>
      </c>
      <c r="Y1906">
        <v>2.2968140407602505E-3</v>
      </c>
    </row>
    <row r="1907" spans="1:25" x14ac:dyDescent="0.25">
      <c r="A1907" s="1096"/>
      <c r="B1907" s="1455">
        <v>1657</v>
      </c>
      <c r="C1907" s="1100">
        <v>1.0136866537401388</v>
      </c>
      <c r="D1907" s="1100">
        <v>1.0350019285593268</v>
      </c>
      <c r="E1907" s="1100">
        <v>0.99259426615831681</v>
      </c>
      <c r="F1907" s="1100">
        <v>0.99312437835831657</v>
      </c>
      <c r="G1907" s="1100">
        <v>1.0027710661921414</v>
      </c>
      <c r="H1907" s="1100">
        <v>1.0220198750620748</v>
      </c>
      <c r="I1907" s="1100">
        <v>0.98940810434614124</v>
      </c>
      <c r="K1907">
        <v>1.1387991784370919</v>
      </c>
      <c r="L1907">
        <v>0</v>
      </c>
      <c r="M1907">
        <v>8.0863879343673654E-4</v>
      </c>
      <c r="N1907">
        <v>7.2768934906523725E-2</v>
      </c>
      <c r="O1907">
        <v>1.0067635582193734E-2</v>
      </c>
      <c r="P1907">
        <v>1.3355048567547186E-2</v>
      </c>
      <c r="Q1907">
        <v>4.3391995437338534E-4</v>
      </c>
      <c r="R1907">
        <v>8.0688644361560241E-4</v>
      </c>
      <c r="S1907">
        <v>7.0730464377352267E-2</v>
      </c>
      <c r="T1907">
        <v>0.82243045458634878</v>
      </c>
      <c r="U1907">
        <v>0</v>
      </c>
      <c r="V1907">
        <v>9.1878495397685014E-2</v>
      </c>
      <c r="W1907">
        <v>4.8015739935346621E-2</v>
      </c>
      <c r="X1907">
        <v>6.9241585700644927E-3</v>
      </c>
      <c r="Y1907">
        <v>2.1960789094770186E-3</v>
      </c>
    </row>
    <row r="1908" spans="1:25" x14ac:dyDescent="0.25">
      <c r="A1908" s="1096"/>
      <c r="B1908" s="1455">
        <v>1658</v>
      </c>
      <c r="C1908" s="1100">
        <v>1.021790518264347</v>
      </c>
      <c r="D1908" s="1100">
        <v>0.9985045085973171</v>
      </c>
      <c r="E1908" s="1100">
        <v>0.99847053340814595</v>
      </c>
      <c r="F1908" s="1100">
        <v>0.99558643152731607</v>
      </c>
      <c r="G1908" s="1100">
        <v>0.97188134943669469</v>
      </c>
      <c r="H1908" s="1100">
        <v>1.0245771026667145</v>
      </c>
      <c r="I1908" s="1100">
        <v>0.97172237852718812</v>
      </c>
      <c r="K1908">
        <v>1.1403332555246715</v>
      </c>
      <c r="L1908">
        <v>0</v>
      </c>
      <c r="M1908">
        <v>8.0598726117863046E-4</v>
      </c>
      <c r="N1908">
        <v>7.3830318604763814E-2</v>
      </c>
      <c r="O1908">
        <v>1.0134129799721591E-2</v>
      </c>
      <c r="P1908">
        <v>1.3409977353086437E-2</v>
      </c>
      <c r="Q1908">
        <v>4.393799164848194E-4</v>
      </c>
      <c r="R1908">
        <v>8.042450166488483E-4</v>
      </c>
      <c r="S1908">
        <v>7.0298076865849504E-2</v>
      </c>
      <c r="T1908">
        <v>0.8240811745080503</v>
      </c>
      <c r="U1908">
        <v>0</v>
      </c>
      <c r="V1908">
        <v>9.0364747983704058E-2</v>
      </c>
      <c r="W1908">
        <v>4.8545636481150685E-2</v>
      </c>
      <c r="X1908">
        <v>7.0426664403688936E-3</v>
      </c>
      <c r="Y1908">
        <v>2.1888898160196796E-3</v>
      </c>
    </row>
    <row r="1909" spans="1:25" x14ac:dyDescent="0.25">
      <c r="A1909" s="1096"/>
      <c r="B1909" s="1455">
        <v>1659</v>
      </c>
      <c r="C1909" s="1100">
        <v>1.0068018322098096</v>
      </c>
      <c r="D1909" s="1100">
        <v>0.96365030434216437</v>
      </c>
      <c r="E1909" s="1100">
        <v>0.9628314069640771</v>
      </c>
      <c r="F1909" s="1100">
        <v>1.0129412641547042</v>
      </c>
      <c r="G1909" s="1100">
        <v>1.0077863518726804</v>
      </c>
      <c r="H1909" s="1100">
        <v>1.0278131386429539</v>
      </c>
      <c r="I1909" s="1100">
        <v>0.98703905878956155</v>
      </c>
      <c r="K1909">
        <v>1.1634045243057314</v>
      </c>
      <c r="L1909">
        <v>0</v>
      </c>
      <c r="M1909">
        <v>8.9597461434294697E-4</v>
      </c>
      <c r="N1909">
        <v>7.36845873550315E-2</v>
      </c>
      <c r="O1909">
        <v>1.042049378584676E-2</v>
      </c>
      <c r="P1909">
        <v>1.3346658324197364E-2</v>
      </c>
      <c r="Q1909">
        <v>4.3572820675030614E-4</v>
      </c>
      <c r="R1909">
        <v>8.9404394847929138E-4</v>
      </c>
      <c r="S1909">
        <v>7.3889041687230053E-2</v>
      </c>
      <c r="T1909">
        <v>0.84085898349516464</v>
      </c>
      <c r="U1909">
        <v>0</v>
      </c>
      <c r="V1909">
        <v>9.2256423142706545E-2</v>
      </c>
      <c r="W1909">
        <v>4.9503235223734565E-2</v>
      </c>
      <c r="X1909">
        <v>6.5780108446789158E-3</v>
      </c>
      <c r="Y1909">
        <v>2.4332929062522222E-3</v>
      </c>
    </row>
    <row r="1910" spans="1:25" x14ac:dyDescent="0.25">
      <c r="A1910" s="1096"/>
      <c r="B1910" s="1455">
        <v>1660</v>
      </c>
      <c r="C1910" s="1100">
        <v>1.007913181319521</v>
      </c>
      <c r="D1910" s="1100">
        <v>1.0118217732773356</v>
      </c>
      <c r="E1910" s="1100">
        <v>0.99358154501663454</v>
      </c>
      <c r="F1910" s="1100">
        <v>1.0415687031485976</v>
      </c>
      <c r="G1910" s="1100">
        <v>0.98876103589659636</v>
      </c>
      <c r="H1910" s="1100">
        <v>1.0242715107299993</v>
      </c>
      <c r="I1910" s="1100">
        <v>1.0103777035484918</v>
      </c>
      <c r="K1910">
        <v>1.1844242243999932</v>
      </c>
      <c r="L1910">
        <v>0</v>
      </c>
      <c r="M1910">
        <v>8.2079998819294825E-4</v>
      </c>
      <c r="N1910">
        <v>7.4084426758522642E-2</v>
      </c>
      <c r="O1910">
        <v>1.0217778744693573E-2</v>
      </c>
      <c r="P1910">
        <v>1.3940753965032282E-2</v>
      </c>
      <c r="Q1910">
        <v>4.4083013326809856E-4</v>
      </c>
      <c r="R1910">
        <v>8.1902519470693853E-4</v>
      </c>
      <c r="S1910">
        <v>7.3582104437808146E-2</v>
      </c>
      <c r="T1910">
        <v>0.86248006855610881</v>
      </c>
      <c r="U1910">
        <v>0</v>
      </c>
      <c r="V1910">
        <v>9.1419626467735687E-2</v>
      </c>
      <c r="W1910">
        <v>4.8854919227982935E-2</v>
      </c>
      <c r="X1910">
        <v>7.1763743139174833E-3</v>
      </c>
      <c r="Y1910">
        <v>2.2291165884094138E-3</v>
      </c>
    </row>
    <row r="1911" spans="1:25" x14ac:dyDescent="0.25">
      <c r="A1911" s="1096"/>
      <c r="B1911" s="1455">
        <v>1661</v>
      </c>
      <c r="C1911" s="1100">
        <v>0.99883028612523506</v>
      </c>
      <c r="D1911" s="1100">
        <v>0.95895557830945244</v>
      </c>
      <c r="E1911" s="1100">
        <v>1.0050645739997615</v>
      </c>
      <c r="F1911" s="1100">
        <v>1.0280577737440284</v>
      </c>
      <c r="G1911" s="1100">
        <v>0.99699959376753766</v>
      </c>
      <c r="H1911" s="1100">
        <v>1.0021598272281087</v>
      </c>
      <c r="I1911" s="1100">
        <v>1.0362147006865519</v>
      </c>
      <c r="K1911">
        <v>1.1794300261482438</v>
      </c>
      <c r="L1911">
        <v>0</v>
      </c>
      <c r="M1911">
        <v>8.084801685979843E-4</v>
      </c>
      <c r="N1911">
        <v>7.5545011172600346E-2</v>
      </c>
      <c r="O1911">
        <v>1.0538233862077487E-2</v>
      </c>
      <c r="P1911">
        <v>1.3956477678813813E-2</v>
      </c>
      <c r="Q1911">
        <v>4.5993594011295625E-4</v>
      </c>
      <c r="R1911">
        <v>8.0669344258727459E-4</v>
      </c>
      <c r="S1911">
        <v>7.733753228990653E-2</v>
      </c>
      <c r="T1911">
        <v>0.8505104051795056</v>
      </c>
      <c r="U1911">
        <v>0</v>
      </c>
      <c r="V1911">
        <v>9.1997193730256097E-2</v>
      </c>
      <c r="W1911">
        <v>4.9479073403737861E-2</v>
      </c>
      <c r="X1911">
        <v>7.4123959929432957E-3</v>
      </c>
      <c r="Y1911">
        <v>2.1955536243006817E-3</v>
      </c>
    </row>
    <row r="1912" spans="1:25" x14ac:dyDescent="0.25">
      <c r="A1912" s="1096"/>
      <c r="B1912" s="1455">
        <v>1662</v>
      </c>
      <c r="C1912" s="1100">
        <v>1.0092138386320528</v>
      </c>
      <c r="D1912" s="1100">
        <v>0.97657933955642029</v>
      </c>
      <c r="E1912" s="1100">
        <v>1.0065763076779337</v>
      </c>
      <c r="F1912" s="1100">
        <v>1.0119930687110064</v>
      </c>
      <c r="G1912" s="1100">
        <v>1.0144042492934364</v>
      </c>
      <c r="H1912" s="1100">
        <v>0.99807316560466219</v>
      </c>
      <c r="I1912" s="1100">
        <v>1.0079999620824835</v>
      </c>
      <c r="K1912">
        <v>1.1596766710130695</v>
      </c>
      <c r="L1912">
        <v>0</v>
      </c>
      <c r="M1912">
        <v>7.8863593776792992E-4</v>
      </c>
      <c r="N1912">
        <v>7.4027270633833422E-2</v>
      </c>
      <c r="O1912">
        <v>1.0354604103141953E-2</v>
      </c>
      <c r="P1912">
        <v>1.3744149185944287E-2</v>
      </c>
      <c r="Q1912">
        <v>4.5260654634235892E-4</v>
      </c>
      <c r="R1912">
        <v>7.8688593086225856E-4</v>
      </c>
      <c r="S1912">
        <v>7.3598011849013961E-2</v>
      </c>
      <c r="T1912">
        <v>0.83711910688093549</v>
      </c>
      <c r="U1912">
        <v>0</v>
      </c>
      <c r="V1912">
        <v>9.2486151160258601E-2</v>
      </c>
      <c r="W1912">
        <v>4.8441667399808576E-2</v>
      </c>
      <c r="X1912">
        <v>7.3132091537662482E-3</v>
      </c>
      <c r="Y1912">
        <v>2.1416441069296737E-3</v>
      </c>
    </row>
    <row r="1913" spans="1:25" x14ac:dyDescent="0.25">
      <c r="A1913" s="1096"/>
      <c r="B1913" s="1455">
        <v>1663</v>
      </c>
      <c r="C1913" s="1100">
        <v>1.0368024543740622</v>
      </c>
      <c r="D1913" s="1100">
        <v>1.0041942845100753</v>
      </c>
      <c r="E1913" s="1100">
        <v>0.99242621237852591</v>
      </c>
      <c r="F1913" s="1100">
        <v>1.011556206268593</v>
      </c>
      <c r="G1913" s="1100">
        <v>0.98137679787622267</v>
      </c>
      <c r="H1913" s="1100">
        <v>0.98225913570455026</v>
      </c>
      <c r="I1913" s="1100">
        <v>0.99200206339682773</v>
      </c>
      <c r="K1913">
        <v>1.144780597967592</v>
      </c>
      <c r="L1913">
        <v>0</v>
      </c>
      <c r="M1913">
        <v>7.6935999643576512E-4</v>
      </c>
      <c r="N1913">
        <v>6.9193013032611536E-2</v>
      </c>
      <c r="O1913">
        <v>9.9628194176951956E-3</v>
      </c>
      <c r="P1913">
        <v>1.3515338784081263E-2</v>
      </c>
      <c r="Q1913">
        <v>4.2932949520822235E-4</v>
      </c>
      <c r="R1913">
        <v>7.6762527756791057E-4</v>
      </c>
      <c r="S1913">
        <v>6.8869561242552044E-2</v>
      </c>
      <c r="T1913">
        <v>0.83770559537817801</v>
      </c>
      <c r="U1913">
        <v>0</v>
      </c>
      <c r="V1913">
        <v>9.0418678295315524E-2</v>
      </c>
      <c r="W1913">
        <v>4.5660796779232668E-2</v>
      </c>
      <c r="X1913">
        <v>6.9379773036494265E-3</v>
      </c>
      <c r="Y1913">
        <v>2.0892229579351105E-3</v>
      </c>
    </row>
    <row r="1914" spans="1:25" x14ac:dyDescent="0.25">
      <c r="A1914" s="1096"/>
      <c r="B1914" s="1455">
        <v>1664</v>
      </c>
      <c r="C1914" s="1100">
        <v>1.0057485514464186</v>
      </c>
      <c r="D1914" s="1100">
        <v>0.98036486038112669</v>
      </c>
      <c r="E1914" s="1100">
        <v>0.9688676518953302</v>
      </c>
      <c r="F1914" s="1100">
        <v>1.0105411193180469</v>
      </c>
      <c r="G1914" s="1100">
        <v>1.0062933310629802</v>
      </c>
      <c r="H1914" s="1100">
        <v>0.98105993288098203</v>
      </c>
      <c r="I1914" s="1100">
        <v>1.0216698905074617</v>
      </c>
      <c r="K1914">
        <v>1.1551347808713632</v>
      </c>
      <c r="L1914">
        <v>0</v>
      </c>
      <c r="M1914">
        <v>8.3972289768410901E-4</v>
      </c>
      <c r="N1914">
        <v>7.0325415528247587E-2</v>
      </c>
      <c r="O1914">
        <v>1.036186913631199E-2</v>
      </c>
      <c r="P1914">
        <v>1.3377201201422169E-2</v>
      </c>
      <c r="Q1914">
        <v>4.3596445064144268E-4</v>
      </c>
      <c r="R1914">
        <v>8.3782721329182124E-4</v>
      </c>
      <c r="S1914">
        <v>7.3950719239790644E-2</v>
      </c>
      <c r="T1914">
        <v>0.83845600603674619</v>
      </c>
      <c r="U1914">
        <v>0</v>
      </c>
      <c r="V1914">
        <v>9.221901565262916E-2</v>
      </c>
      <c r="W1914">
        <v>4.7072625824486465E-2</v>
      </c>
      <c r="X1914">
        <v>6.6575700005664538E-3</v>
      </c>
      <c r="Y1914">
        <v>2.280289484913703E-3</v>
      </c>
    </row>
    <row r="1915" spans="1:25" x14ac:dyDescent="0.25">
      <c r="A1915" s="1096"/>
      <c r="B1915" s="1455">
        <v>1665</v>
      </c>
      <c r="C1915" s="1100">
        <v>0.99542415334430978</v>
      </c>
      <c r="D1915" s="1100">
        <v>1.0133707169831649</v>
      </c>
      <c r="E1915" s="1100">
        <v>1.0029223088137758</v>
      </c>
      <c r="F1915" s="1100">
        <v>1.0155889262030704</v>
      </c>
      <c r="G1915" s="1100">
        <v>1.0287433451637888</v>
      </c>
      <c r="H1915" s="1100">
        <v>1.0047411425077433</v>
      </c>
      <c r="I1915" s="1100">
        <v>1.0379407999272054</v>
      </c>
      <c r="K1915">
        <v>1.166317315283123</v>
      </c>
      <c r="L1915">
        <v>0</v>
      </c>
      <c r="M1915">
        <v>7.9912225476634624E-4</v>
      </c>
      <c r="N1915">
        <v>7.4189437655278676E-2</v>
      </c>
      <c r="O1915">
        <v>1.0342701189724029E-2</v>
      </c>
      <c r="P1915">
        <v>1.3792134529890841E-2</v>
      </c>
      <c r="Q1915">
        <v>4.5043316931056766E-4</v>
      </c>
      <c r="R1915">
        <v>7.9736074677761132E-4</v>
      </c>
      <c r="S1915">
        <v>7.566530802238719E-2</v>
      </c>
      <c r="T1915">
        <v>0.84033870697535562</v>
      </c>
      <c r="U1915">
        <v>0</v>
      </c>
      <c r="V1915">
        <v>9.3438855631615331E-2</v>
      </c>
      <c r="W1915">
        <v>4.8652937978646872E-2</v>
      </c>
      <c r="X1915">
        <v>7.2784085360732406E-3</v>
      </c>
      <c r="Y1915">
        <v>2.1701531028291247E-3</v>
      </c>
    </row>
    <row r="1916" spans="1:25" x14ac:dyDescent="0.25">
      <c r="A1916" s="1096"/>
      <c r="B1916" s="1455">
        <v>1666</v>
      </c>
      <c r="C1916" s="1100">
        <v>1.0214845165530562</v>
      </c>
      <c r="D1916" s="1100">
        <v>1.0066556613324837</v>
      </c>
      <c r="E1916" s="1100">
        <v>0.96728947912317165</v>
      </c>
      <c r="F1916" s="1100">
        <v>0.99705299867994646</v>
      </c>
      <c r="G1916" s="1100">
        <v>0.99234972674621436</v>
      </c>
      <c r="H1916" s="1100">
        <v>1.0016437190757772</v>
      </c>
      <c r="I1916" s="1100">
        <v>1.0221172620578363</v>
      </c>
      <c r="K1916">
        <v>1.1404449885833872</v>
      </c>
      <c r="L1916">
        <v>0</v>
      </c>
      <c r="M1916">
        <v>8.379702479121878E-4</v>
      </c>
      <c r="N1916">
        <v>6.9847283598382187E-2</v>
      </c>
      <c r="O1916">
        <v>1.0094315265574711E-2</v>
      </c>
      <c r="P1916">
        <v>1.318381990567501E-2</v>
      </c>
      <c r="Q1916">
        <v>4.2402217016224343E-4</v>
      </c>
      <c r="R1916">
        <v>8.3611739516776336E-4</v>
      </c>
      <c r="S1916">
        <v>7.269132713681703E-2</v>
      </c>
      <c r="T1916">
        <v>0.8273705777617234</v>
      </c>
      <c r="U1916">
        <v>0</v>
      </c>
      <c r="V1916">
        <v>9.1242997852060678E-2</v>
      </c>
      <c r="W1916">
        <v>4.6797583541039953E-2</v>
      </c>
      <c r="X1916">
        <v>6.5192782810755681E-3</v>
      </c>
      <c r="Y1916">
        <v>2.2756359236214105E-3</v>
      </c>
    </row>
    <row r="1917" spans="1:25" x14ac:dyDescent="0.25">
      <c r="A1917" s="1096"/>
      <c r="B1917" s="1455">
        <v>1667</v>
      </c>
      <c r="C1917" s="1100">
        <v>0.99980064464007135</v>
      </c>
      <c r="D1917" s="1100">
        <v>1.0208431353810712</v>
      </c>
      <c r="E1917" s="1100">
        <v>0.98270601301735938</v>
      </c>
      <c r="F1917" s="1100">
        <v>0.98990742707327017</v>
      </c>
      <c r="G1917" s="1100">
        <v>1.0056801203758183</v>
      </c>
      <c r="H1917" s="1100">
        <v>0.97707445272459681</v>
      </c>
      <c r="I1917" s="1100">
        <v>1.0057204116488496</v>
      </c>
      <c r="K1917">
        <v>1.1341222575093752</v>
      </c>
      <c r="L1917">
        <v>0</v>
      </c>
      <c r="M1917">
        <v>8.0444578015568494E-4</v>
      </c>
      <c r="N1917">
        <v>7.0252002237827918E-2</v>
      </c>
      <c r="O1917">
        <v>1.026065447542221E-2</v>
      </c>
      <c r="P1917">
        <v>1.3246222310321418E-2</v>
      </c>
      <c r="Q1917">
        <v>4.3783540663277777E-4</v>
      </c>
      <c r="R1917">
        <v>8.0262232663525185E-4</v>
      </c>
      <c r="S1917">
        <v>7.1574849747404773E-2</v>
      </c>
      <c r="T1917">
        <v>0.82041837487114344</v>
      </c>
      <c r="U1917">
        <v>0</v>
      </c>
      <c r="V1917">
        <v>9.2341053704160625E-2</v>
      </c>
      <c r="W1917">
        <v>4.6630892213240661E-2</v>
      </c>
      <c r="X1917">
        <v>6.777722608018631E-3</v>
      </c>
      <c r="Y1917">
        <v>2.1844733887222889E-3</v>
      </c>
    </row>
    <row r="1918" spans="1:25" x14ac:dyDescent="0.25">
      <c r="A1918" s="1096"/>
      <c r="B1918" s="1455">
        <v>1668</v>
      </c>
      <c r="C1918" s="1100">
        <v>0.97257236045878781</v>
      </c>
      <c r="D1918" s="1100">
        <v>0.97922391285557209</v>
      </c>
      <c r="E1918" s="1100">
        <v>1.0182712707868788</v>
      </c>
      <c r="F1918" s="1100">
        <v>0.98602807299948081</v>
      </c>
      <c r="G1918" s="1100">
        <v>1.0089015615728898</v>
      </c>
      <c r="H1918" s="1100">
        <v>1.0216359290202568</v>
      </c>
      <c r="I1918" s="1100">
        <v>1.0303516960707106</v>
      </c>
      <c r="K1918">
        <v>1.1527174249292609</v>
      </c>
      <c r="L1918">
        <v>0</v>
      </c>
      <c r="M1918">
        <v>8.1666917080796349E-4</v>
      </c>
      <c r="N1918">
        <v>7.9417196092561551E-2</v>
      </c>
      <c r="O1918">
        <v>1.0737071693665251E-2</v>
      </c>
      <c r="P1918">
        <v>1.364036657488007E-2</v>
      </c>
      <c r="Q1918">
        <v>4.7483599818035348E-4</v>
      </c>
      <c r="R1918">
        <v>8.1489875376634176E-4</v>
      </c>
      <c r="S1918">
        <v>7.8994988771006608E-2</v>
      </c>
      <c r="T1918">
        <v>0.81488210010185702</v>
      </c>
      <c r="U1918">
        <v>0</v>
      </c>
      <c r="V1918">
        <v>9.3178108586123909E-2</v>
      </c>
      <c r="W1918">
        <v>5.1612226687427064E-2</v>
      </c>
      <c r="X1918">
        <v>7.5644150641491509E-3</v>
      </c>
      <c r="Y1918">
        <v>2.2178857764499995E-3</v>
      </c>
    </row>
    <row r="1919" spans="1:25" x14ac:dyDescent="0.25">
      <c r="A1919" s="1096"/>
      <c r="B1919" s="1455">
        <v>1669</v>
      </c>
      <c r="C1919" s="1100">
        <v>1.0075472869732407</v>
      </c>
      <c r="D1919" s="1100">
        <v>1.0158915347089204</v>
      </c>
      <c r="E1919" s="1100">
        <v>1.0298321316760213</v>
      </c>
      <c r="F1919" s="1100">
        <v>1.0219628969178061</v>
      </c>
      <c r="G1919" s="1100">
        <v>1.0251593622106299</v>
      </c>
      <c r="H1919" s="1100">
        <v>1.0095120139670715</v>
      </c>
      <c r="I1919" s="1100">
        <v>0.97257157184304466</v>
      </c>
      <c r="K1919">
        <v>1.16559406602802</v>
      </c>
      <c r="L1919">
        <v>0</v>
      </c>
      <c r="M1919">
        <v>7.4933990990652872E-4</v>
      </c>
      <c r="N1919">
        <v>7.5453283635948082E-2</v>
      </c>
      <c r="O1919">
        <v>1.0216813131394054E-2</v>
      </c>
      <c r="P1919">
        <v>1.4033495121837287E-2</v>
      </c>
      <c r="Q1919">
        <v>4.570393031114208E-4</v>
      </c>
      <c r="R1919">
        <v>7.4769594345773331E-4</v>
      </c>
      <c r="S1919">
        <v>7.0174380130206604E-2</v>
      </c>
      <c r="T1919">
        <v>0.84380669233136774</v>
      </c>
      <c r="U1919">
        <v>0</v>
      </c>
      <c r="V1919">
        <v>9.2989911464647856E-2</v>
      </c>
      <c r="W1919">
        <v>4.8706628929015464E-2</v>
      </c>
      <c r="X1919">
        <v>7.7224840667501791E-3</v>
      </c>
      <c r="Y1919">
        <v>2.0349818801904313E-3</v>
      </c>
    </row>
    <row r="1920" spans="1:25" x14ac:dyDescent="0.25">
      <c r="A1920" s="1096"/>
      <c r="B1920" s="1455">
        <v>1670</v>
      </c>
      <c r="C1920" s="1100">
        <v>1.0130859322338772</v>
      </c>
      <c r="D1920" s="1100">
        <v>1.0072355852182138</v>
      </c>
      <c r="E1920" s="1100">
        <v>0.98890939686428259</v>
      </c>
      <c r="F1920" s="1100">
        <v>0.98602571398342043</v>
      </c>
      <c r="G1920" s="1100">
        <v>1.0002279431336583</v>
      </c>
      <c r="H1920" s="1100">
        <v>0.96144487006529233</v>
      </c>
      <c r="I1920" s="1100">
        <v>1.0029323694268406</v>
      </c>
      <c r="K1920">
        <v>1.1262977243917094</v>
      </c>
      <c r="L1920">
        <v>0</v>
      </c>
      <c r="M1920">
        <v>7.7538225551308348E-4</v>
      </c>
      <c r="N1920">
        <v>6.8993739249306532E-2</v>
      </c>
      <c r="O1920">
        <v>1.0182593784558847E-2</v>
      </c>
      <c r="P1920">
        <v>1.3234839151665649E-2</v>
      </c>
      <c r="Q1920">
        <v>4.3724382168995759E-4</v>
      </c>
      <c r="R1920">
        <v>7.7359610912629468E-4</v>
      </c>
      <c r="S1920">
        <v>7.030788959367161E-2</v>
      </c>
      <c r="T1920">
        <v>0.8167935127031225</v>
      </c>
      <c r="U1920">
        <v>0</v>
      </c>
      <c r="V1920">
        <v>9.178374797796067E-2</v>
      </c>
      <c r="W1920">
        <v>4.5625265956136078E-2</v>
      </c>
      <c r="X1920">
        <v>6.8352047068301345E-3</v>
      </c>
      <c r="Y1920">
        <v>2.1054735931529379E-3</v>
      </c>
    </row>
    <row r="1921" spans="1:25" x14ac:dyDescent="0.25">
      <c r="A1921" s="1096"/>
      <c r="B1921" s="1455">
        <v>1671</v>
      </c>
      <c r="C1921" s="1100">
        <v>1.0217568556968635</v>
      </c>
      <c r="D1921" s="1100">
        <v>0.98558292213449605</v>
      </c>
      <c r="E1921" s="1100">
        <v>1.0195674146194651</v>
      </c>
      <c r="F1921" s="1100">
        <v>0.98475545479436322</v>
      </c>
      <c r="G1921" s="1100">
        <v>0.99472245272906024</v>
      </c>
      <c r="H1921" s="1100">
        <v>1.0127128252695037</v>
      </c>
      <c r="I1921" s="1100">
        <v>1.0073148368667393</v>
      </c>
      <c r="K1921">
        <v>1.1350725427005652</v>
      </c>
      <c r="L1921">
        <v>0</v>
      </c>
      <c r="M1921">
        <v>7.6650533443245038E-4</v>
      </c>
      <c r="N1921">
        <v>7.4829624025031322E-2</v>
      </c>
      <c r="O1921">
        <v>1.0194210456191089E-2</v>
      </c>
      <c r="P1921">
        <v>1.3528018102248638E-2</v>
      </c>
      <c r="Q1921">
        <v>4.5141015327296991E-4</v>
      </c>
      <c r="R1921">
        <v>7.6482902399362855E-4</v>
      </c>
      <c r="S1921">
        <v>7.2909227005811095E-2</v>
      </c>
      <c r="T1921">
        <v>0.81374665140911162</v>
      </c>
      <c r="U1921">
        <v>0</v>
      </c>
      <c r="V1921">
        <v>9.1345293942814682E-2</v>
      </c>
      <c r="W1921">
        <v>4.8593927157500695E-2</v>
      </c>
      <c r="X1921">
        <v>7.3942442815310167E-3</v>
      </c>
      <c r="Y1921">
        <v>2.0816124774906582E-3</v>
      </c>
    </row>
    <row r="1922" spans="1:25" x14ac:dyDescent="0.25">
      <c r="A1922" s="1096"/>
      <c r="B1922" s="1455">
        <v>1672</v>
      </c>
      <c r="C1922" s="1100">
        <v>1.003334499883044</v>
      </c>
      <c r="D1922" s="1100">
        <v>1.0019149954484223</v>
      </c>
      <c r="E1922" s="1100">
        <v>0.97322406148552787</v>
      </c>
      <c r="F1922" s="1100">
        <v>0.976512394898578</v>
      </c>
      <c r="G1922" s="1100">
        <v>1.0044706879676115</v>
      </c>
      <c r="H1922" s="1100">
        <v>1.0248856246036466</v>
      </c>
      <c r="I1922" s="1100">
        <v>1.0040457748002423</v>
      </c>
      <c r="K1922">
        <v>1.1309409187177213</v>
      </c>
      <c r="L1922">
        <v>0</v>
      </c>
      <c r="M1922">
        <v>8.6392436258031144E-4</v>
      </c>
      <c r="N1922">
        <v>7.3319967644568745E-2</v>
      </c>
      <c r="O1922">
        <v>1.029826644420033E-2</v>
      </c>
      <c r="P1922">
        <v>1.3039094475053796E-2</v>
      </c>
      <c r="Q1922">
        <v>4.3522086149064054E-4</v>
      </c>
      <c r="R1922">
        <v>8.6205744176673317E-4</v>
      </c>
      <c r="S1922">
        <v>7.3826170979440081E-2</v>
      </c>
      <c r="T1922">
        <v>0.8099364095459809</v>
      </c>
      <c r="U1922">
        <v>0</v>
      </c>
      <c r="V1922">
        <v>9.220084322901527E-2</v>
      </c>
      <c r="W1922">
        <v>4.8947196854146252E-2</v>
      </c>
      <c r="X1922">
        <v>6.5933794253084099E-3</v>
      </c>
      <c r="Y1922">
        <v>2.3462361793297431E-3</v>
      </c>
    </row>
    <row r="1923" spans="1:25" x14ac:dyDescent="0.25">
      <c r="A1923" s="1096"/>
      <c r="B1923" s="1455">
        <v>1673</v>
      </c>
      <c r="C1923" s="1100">
        <v>0.99207781408795903</v>
      </c>
      <c r="D1923" s="1100">
        <v>0.99753558137608367</v>
      </c>
      <c r="E1923" s="1100">
        <v>1.0236331731620705</v>
      </c>
      <c r="F1923" s="1100">
        <v>0.99846265875242257</v>
      </c>
      <c r="G1923" s="1100">
        <v>1.0042157966189553</v>
      </c>
      <c r="H1923" s="1100">
        <v>1.0037859776222002</v>
      </c>
      <c r="I1923" s="1100">
        <v>0.97751370395686021</v>
      </c>
      <c r="K1923">
        <v>1.1494178830821786</v>
      </c>
      <c r="L1923">
        <v>0</v>
      </c>
      <c r="M1923">
        <v>7.7215224932772092E-4</v>
      </c>
      <c r="N1923">
        <v>7.6309582488697569E-2</v>
      </c>
      <c r="O1923">
        <v>1.0450024661162783E-2</v>
      </c>
      <c r="P1923">
        <v>1.3725816182229083E-2</v>
      </c>
      <c r="Q1923">
        <v>4.6461036569955117E-4</v>
      </c>
      <c r="R1923">
        <v>7.704485718024323E-4</v>
      </c>
      <c r="S1923">
        <v>7.2066258913911094E-2</v>
      </c>
      <c r="T1923">
        <v>0.82480759845785201</v>
      </c>
      <c r="U1923">
        <v>0</v>
      </c>
      <c r="V1923">
        <v>9.2477573378317066E-2</v>
      </c>
      <c r="W1923">
        <v>4.9437415818316711E-2</v>
      </c>
      <c r="X1923">
        <v>7.583799459373688E-3</v>
      </c>
      <c r="Y1923">
        <v>2.0969070341427835E-3</v>
      </c>
    </row>
    <row r="1924" spans="1:25" x14ac:dyDescent="0.25">
      <c r="A1924" s="1096"/>
      <c r="B1924" s="1455">
        <v>1674</v>
      </c>
      <c r="C1924" s="1100">
        <v>1.0118875754673222</v>
      </c>
      <c r="D1924" s="1100">
        <v>0.99652217271732257</v>
      </c>
      <c r="E1924" s="1100">
        <v>0.97394915431731643</v>
      </c>
      <c r="F1924" s="1100">
        <v>1.0106630426052479</v>
      </c>
      <c r="G1924" s="1100">
        <v>0.97087807561866035</v>
      </c>
      <c r="H1924" s="1100">
        <v>1.038965050793573</v>
      </c>
      <c r="I1924" s="1100">
        <v>0.97140103448527182</v>
      </c>
      <c r="K1924">
        <v>1.1566743513542255</v>
      </c>
      <c r="L1924">
        <v>0</v>
      </c>
      <c r="M1924">
        <v>8.6896407294984805E-4</v>
      </c>
      <c r="N1924">
        <v>7.3911897428661333E-2</v>
      </c>
      <c r="O1924">
        <v>1.0233521237963511E-2</v>
      </c>
      <c r="P1924">
        <v>1.3372027675635018E-2</v>
      </c>
      <c r="Q1924">
        <v>4.3280462022292636E-4</v>
      </c>
      <c r="R1924">
        <v>8.6711170840353641E-4</v>
      </c>
      <c r="S1924">
        <v>7.1569255352758293E-2</v>
      </c>
      <c r="T1924">
        <v>0.83821240953459408</v>
      </c>
      <c r="U1924">
        <v>0</v>
      </c>
      <c r="V1924">
        <v>9.0555470517344458E-2</v>
      </c>
      <c r="W1924">
        <v>4.9320650520913376E-2</v>
      </c>
      <c r="X1924">
        <v>6.708174603701776E-3</v>
      </c>
      <c r="Y1924">
        <v>2.3599922269765734E-3</v>
      </c>
    </row>
    <row r="1925" spans="1:25" x14ac:dyDescent="0.25">
      <c r="A1925" s="1096"/>
      <c r="B1925" s="1455">
        <v>1675</v>
      </c>
      <c r="C1925" s="1100">
        <v>0.99290963348338523</v>
      </c>
      <c r="D1925" s="1100">
        <v>0.98074658306892604</v>
      </c>
      <c r="E1925" s="1100">
        <v>1.0320446694283474</v>
      </c>
      <c r="F1925" s="1100">
        <v>1.0359001814163327</v>
      </c>
      <c r="G1925" s="1100">
        <v>1.0309071678145052</v>
      </c>
      <c r="H1925" s="1100">
        <v>1.0053830815615616</v>
      </c>
      <c r="I1925" s="1100">
        <v>1.0166640226237453</v>
      </c>
      <c r="K1925">
        <v>1.187125404819096</v>
      </c>
      <c r="L1925">
        <v>0</v>
      </c>
      <c r="M1925">
        <v>7.6448383181751476E-4</v>
      </c>
      <c r="N1925">
        <v>7.7492584693349062E-2</v>
      </c>
      <c r="O1925">
        <v>1.0515208271821348E-2</v>
      </c>
      <c r="P1925">
        <v>1.429922119241497E-2</v>
      </c>
      <c r="Q1925">
        <v>4.7141730238345114E-4</v>
      </c>
      <c r="R1925">
        <v>7.6279975340032226E-4</v>
      </c>
      <c r="S1925">
        <v>7.5622608413754663E-2</v>
      </c>
      <c r="T1925">
        <v>0.85516488433341653</v>
      </c>
      <c r="U1925">
        <v>0</v>
      </c>
      <c r="V1925">
        <v>9.3598679667947285E-2</v>
      </c>
      <c r="W1925">
        <v>4.995888187759643E-2</v>
      </c>
      <c r="X1925">
        <v>7.927513672944423E-3</v>
      </c>
      <c r="Y1925">
        <v>2.0760894718845485E-3</v>
      </c>
    </row>
    <row r="1926" spans="1:25" x14ac:dyDescent="0.25">
      <c r="A1926" s="1096"/>
      <c r="B1926" s="1455">
        <v>1676</v>
      </c>
      <c r="C1926" s="1100">
        <v>0.96872343659249505</v>
      </c>
      <c r="D1926" s="1100">
        <v>1.0173808217717357</v>
      </c>
      <c r="E1926" s="1100">
        <v>0.98758851026699113</v>
      </c>
      <c r="F1926" s="1100">
        <v>1.0017848910197398</v>
      </c>
      <c r="G1926" s="1100">
        <v>1.007383454970431</v>
      </c>
      <c r="H1926" s="1100">
        <v>1.038607062883633</v>
      </c>
      <c r="I1926" s="1100">
        <v>0.99260305048890984</v>
      </c>
      <c r="K1926">
        <v>1.1615542289828067</v>
      </c>
      <c r="L1926">
        <v>0</v>
      </c>
      <c r="M1926">
        <v>8.7485478978803325E-4</v>
      </c>
      <c r="N1926">
        <v>7.7547832043678516E-2</v>
      </c>
      <c r="O1926">
        <v>1.0605857494109394E-2</v>
      </c>
      <c r="P1926">
        <v>1.3489795064572064E-2</v>
      </c>
      <c r="Q1926">
        <v>4.5481068266557808E-4</v>
      </c>
      <c r="R1926">
        <v>8.7298922523973746E-4</v>
      </c>
      <c r="S1926">
        <v>7.5587714480138068E-2</v>
      </c>
      <c r="T1926">
        <v>0.82993604095864149</v>
      </c>
      <c r="U1926">
        <v>0</v>
      </c>
      <c r="V1926">
        <v>9.3209593041846381E-2</v>
      </c>
      <c r="W1926">
        <v>5.1322702505684797E-2</v>
      </c>
      <c r="X1926">
        <v>7.0257593857351724E-3</v>
      </c>
      <c r="Y1926">
        <v>2.3759888902818078E-3</v>
      </c>
    </row>
    <row r="1927" spans="1:25" x14ac:dyDescent="0.25">
      <c r="A1927" s="1096"/>
      <c r="B1927" s="1455">
        <v>1677</v>
      </c>
      <c r="C1927" s="1100">
        <v>1.0357896511581504</v>
      </c>
      <c r="D1927" s="1100">
        <v>0.97089317168776568</v>
      </c>
      <c r="E1927" s="1100">
        <v>0.97812294741800088</v>
      </c>
      <c r="F1927" s="1100">
        <v>1.0126069073751336</v>
      </c>
      <c r="G1927" s="1100">
        <v>0.99746710108077574</v>
      </c>
      <c r="H1927" s="1100">
        <v>1.0058950721317486</v>
      </c>
      <c r="I1927" s="1100">
        <v>0.99650392396457377</v>
      </c>
      <c r="K1927">
        <v>1.1531352557692693</v>
      </c>
      <c r="L1927">
        <v>0</v>
      </c>
      <c r="M1927">
        <v>8.2336928766847662E-4</v>
      </c>
      <c r="N1927">
        <v>7.0919027252588016E-2</v>
      </c>
      <c r="O1927">
        <v>1.0103437198436271E-2</v>
      </c>
      <c r="P1927">
        <v>1.3437684579372304E-2</v>
      </c>
      <c r="Q1927">
        <v>4.2912358985592312E-4</v>
      </c>
      <c r="R1927">
        <v>8.2155641391747536E-4</v>
      </c>
      <c r="S1927">
        <v>7.1382110071739432E-2</v>
      </c>
      <c r="T1927">
        <v>0.83954150436572261</v>
      </c>
      <c r="U1927">
        <v>0</v>
      </c>
      <c r="V1927">
        <v>9.112824526601164E-2</v>
      </c>
      <c r="W1927">
        <v>4.7204048163679832E-2</v>
      </c>
      <c r="X1927">
        <v>6.7558824229301522E-3</v>
      </c>
      <c r="Y1927">
        <v>2.2360057326843061E-3</v>
      </c>
    </row>
    <row r="1928" spans="1:25" x14ac:dyDescent="0.25">
      <c r="A1928" s="1096"/>
      <c r="B1928" s="1455">
        <v>1678</v>
      </c>
      <c r="C1928" s="1100">
        <v>1.0375796469085956</v>
      </c>
      <c r="D1928" s="1100">
        <v>0.9796488722148442</v>
      </c>
      <c r="E1928" s="1100">
        <v>1.0265913872235306</v>
      </c>
      <c r="F1928" s="1100">
        <v>0.99128285655875215</v>
      </c>
      <c r="G1928" s="1100">
        <v>1.0175235847901687</v>
      </c>
      <c r="H1928" s="1100">
        <v>1.0056690003510178</v>
      </c>
      <c r="I1928" s="1100">
        <v>1.0355894099361698</v>
      </c>
      <c r="K1928">
        <v>1.1397038244468825</v>
      </c>
      <c r="L1928">
        <v>0</v>
      </c>
      <c r="M1928">
        <v>7.4047294987935372E-4</v>
      </c>
      <c r="N1928">
        <v>7.3834859176321557E-2</v>
      </c>
      <c r="O1928">
        <v>1.0065272628255862E-2</v>
      </c>
      <c r="P1928">
        <v>1.3686649080285277E-2</v>
      </c>
      <c r="Q1928">
        <v>4.4881849865145262E-4</v>
      </c>
      <c r="R1928">
        <v>7.3884222869664156E-4</v>
      </c>
      <c r="S1928">
        <v>7.3761621499320779E-2</v>
      </c>
      <c r="T1928">
        <v>0.8186847708797792</v>
      </c>
      <c r="U1928">
        <v>0</v>
      </c>
      <c r="V1928">
        <v>9.195082710285192E-2</v>
      </c>
      <c r="W1928">
        <v>4.7751773899589595E-2</v>
      </c>
      <c r="X1928">
        <v>7.5099774157726378E-3</v>
      </c>
      <c r="Y1928">
        <v>2.0108849872370262E-3</v>
      </c>
    </row>
    <row r="1929" spans="1:25" x14ac:dyDescent="0.25">
      <c r="A1929" s="1096"/>
      <c r="B1929" s="1455">
        <v>1679</v>
      </c>
      <c r="C1929" s="1100">
        <v>1.0274892712024164</v>
      </c>
      <c r="D1929" s="1100">
        <v>0.98312323891192954</v>
      </c>
      <c r="E1929" s="1100">
        <v>1.0273327303496163</v>
      </c>
      <c r="F1929" s="1100">
        <v>0.99924987278742305</v>
      </c>
      <c r="G1929" s="1100">
        <v>0.99217078727683372</v>
      </c>
      <c r="H1929" s="1100">
        <v>1.040357506439032</v>
      </c>
      <c r="I1929" s="1100">
        <v>1.0285585617459143</v>
      </c>
      <c r="K1929">
        <v>1.1526005496957983</v>
      </c>
      <c r="L1929">
        <v>0</v>
      </c>
      <c r="M1929">
        <v>7.7125019627635987E-4</v>
      </c>
      <c r="N1929">
        <v>7.708152382661218E-2</v>
      </c>
      <c r="O1929">
        <v>1.0149973265115833E-2</v>
      </c>
      <c r="P1929">
        <v>1.3794080717028449E-2</v>
      </c>
      <c r="Q1929">
        <v>4.5292777833967461E-4</v>
      </c>
      <c r="R1929">
        <v>7.6960832819378559E-4</v>
      </c>
      <c r="S1929">
        <v>7.5269811158513653E-2</v>
      </c>
      <c r="T1929">
        <v>0.82521620675829543</v>
      </c>
      <c r="U1929">
        <v>0</v>
      </c>
      <c r="V1929">
        <v>9.1102128972355451E-2</v>
      </c>
      <c r="W1929">
        <v>4.9830014490726264E-2</v>
      </c>
      <c r="X1929">
        <v>7.6109044288672533E-3</v>
      </c>
      <c r="Y1929">
        <v>2.0946201680262797E-3</v>
      </c>
    </row>
    <row r="1930" spans="1:25" x14ac:dyDescent="0.25">
      <c r="A1930" s="1096"/>
      <c r="B1930" s="1455">
        <v>1680</v>
      </c>
      <c r="C1930" s="1100">
        <v>1.0132850137150331</v>
      </c>
      <c r="D1930" s="1100">
        <v>0.97748066527391653</v>
      </c>
      <c r="E1930" s="1100">
        <v>1.0055055408421036</v>
      </c>
      <c r="F1930" s="1100">
        <v>0.97878281577807524</v>
      </c>
      <c r="G1930" s="1100">
        <v>1.0018958203996073</v>
      </c>
      <c r="H1930" s="1100">
        <v>1.0332066016522323</v>
      </c>
      <c r="I1930" s="1100">
        <v>0.96785478178721129</v>
      </c>
      <c r="K1930">
        <v>1.1328880471122591</v>
      </c>
      <c r="L1930">
        <v>0</v>
      </c>
      <c r="M1930">
        <v>8.1462585295890785E-4</v>
      </c>
      <c r="N1930">
        <v>7.6225780027903298E-2</v>
      </c>
      <c r="O1930">
        <v>1.0308847167494537E-2</v>
      </c>
      <c r="P1930">
        <v>1.3323840641119187E-2</v>
      </c>
      <c r="Q1930">
        <v>4.5012336389359871E-4</v>
      </c>
      <c r="R1930">
        <v>8.128796424634084E-4</v>
      </c>
      <c r="S1930">
        <v>7.1726229586124665E-2</v>
      </c>
      <c r="T1930">
        <v>0.80971681750839364</v>
      </c>
      <c r="U1930">
        <v>0</v>
      </c>
      <c r="V1930">
        <v>9.1852596001593678E-2</v>
      </c>
      <c r="W1930">
        <v>4.9911922286072614E-2</v>
      </c>
      <c r="X1930">
        <v>7.1612463190749744E-3</v>
      </c>
      <c r="Y1930">
        <v>2.2123904210832766E-3</v>
      </c>
    </row>
    <row r="1931" spans="1:25" x14ac:dyDescent="0.25">
      <c r="A1931" s="1096"/>
      <c r="B1931" s="1455">
        <v>1681</v>
      </c>
      <c r="C1931" s="1100">
        <v>1.0126263794899859</v>
      </c>
      <c r="D1931" s="1100">
        <v>0.95211487549044072</v>
      </c>
      <c r="E1931" s="1100">
        <v>1.023467673321389</v>
      </c>
      <c r="F1931" s="1100">
        <v>0.96056595707868819</v>
      </c>
      <c r="G1931" s="1100">
        <v>1.0123046434624738</v>
      </c>
      <c r="H1931" s="1100">
        <v>1.0112733038336308</v>
      </c>
      <c r="I1931" s="1100">
        <v>0.99943907866215353</v>
      </c>
      <c r="K1931">
        <v>1.1202696037091129</v>
      </c>
      <c r="L1931">
        <v>0</v>
      </c>
      <c r="M1931">
        <v>7.7673362587651049E-4</v>
      </c>
      <c r="N1931">
        <v>7.6725296708015214E-2</v>
      </c>
      <c r="O1931">
        <v>1.0430548687994704E-2</v>
      </c>
      <c r="P1931">
        <v>1.3318092364761818E-2</v>
      </c>
      <c r="Q1931">
        <v>4.6366831466077219E-4</v>
      </c>
      <c r="R1931">
        <v>7.7503252862838438E-4</v>
      </c>
      <c r="S1931">
        <v>7.4243300715493565E-2</v>
      </c>
      <c r="T1931">
        <v>0.79351238702164906</v>
      </c>
      <c r="U1931">
        <v>0</v>
      </c>
      <c r="V1931">
        <v>9.231613765018766E-2</v>
      </c>
      <c r="W1931">
        <v>4.9711537385970561E-2</v>
      </c>
      <c r="X1931">
        <v>7.4409529041050849E-3</v>
      </c>
      <c r="Y1931">
        <v>2.1093830535220646E-3</v>
      </c>
    </row>
    <row r="1932" spans="1:25" x14ac:dyDescent="0.25">
      <c r="A1932" s="1096"/>
      <c r="B1932" s="1455">
        <v>1682</v>
      </c>
      <c r="C1932" s="1100">
        <v>0.9897789069472388</v>
      </c>
      <c r="D1932" s="1100">
        <v>1.0256009127914945</v>
      </c>
      <c r="E1932" s="1100">
        <v>1.0204075945413669</v>
      </c>
      <c r="F1932" s="1100">
        <v>1.0331812790877506</v>
      </c>
      <c r="G1932" s="1100">
        <v>0.99063630534633451</v>
      </c>
      <c r="H1932" s="1100">
        <v>0.9845040597726552</v>
      </c>
      <c r="I1932" s="1100">
        <v>0.97587916241721051</v>
      </c>
      <c r="K1932">
        <v>1.1724980932037905</v>
      </c>
      <c r="L1932">
        <v>0</v>
      </c>
      <c r="M1932">
        <v>7.5575748135394457E-4</v>
      </c>
      <c r="N1932">
        <v>7.3962970309441475E-2</v>
      </c>
      <c r="O1932">
        <v>1.0357631055372426E-2</v>
      </c>
      <c r="P1932">
        <v>1.4061968799651185E-2</v>
      </c>
      <c r="Q1932">
        <v>4.5902983768938131E-4</v>
      </c>
      <c r="R1932">
        <v>7.5405731850671409E-4</v>
      </c>
      <c r="S1932">
        <v>7.032448258720557E-2</v>
      </c>
      <c r="T1932">
        <v>0.85370612800311951</v>
      </c>
      <c r="U1932">
        <v>0</v>
      </c>
      <c r="V1932">
        <v>9.1954684301839743E-2</v>
      </c>
      <c r="W1932">
        <v>4.8007523099126571E-2</v>
      </c>
      <c r="X1932">
        <v>7.6130799271444324E-3</v>
      </c>
      <c r="Y1932">
        <v>2.0522954460470361E-3</v>
      </c>
    </row>
    <row r="1933" spans="1:25" x14ac:dyDescent="0.25">
      <c r="A1933" s="1096"/>
      <c r="B1933" s="1455">
        <v>1683</v>
      </c>
      <c r="C1933" s="1100">
        <v>1.0098126301928585</v>
      </c>
      <c r="D1933" s="1100">
        <v>1.003137252429509</v>
      </c>
      <c r="E1933" s="1100">
        <v>1.0286460857620963</v>
      </c>
      <c r="F1933" s="1100">
        <v>1.0406964303359141</v>
      </c>
      <c r="G1933" s="1100">
        <v>1.0033015105964567</v>
      </c>
      <c r="H1933" s="1100">
        <v>0.9822040432582243</v>
      </c>
      <c r="I1933" s="1100">
        <v>0.99970347036033702</v>
      </c>
      <c r="K1933">
        <v>1.1784177804696152</v>
      </c>
      <c r="L1933">
        <v>0</v>
      </c>
      <c r="M1933">
        <v>7.3292872309095526E-4</v>
      </c>
      <c r="N1933">
        <v>7.3532884180712452E-2</v>
      </c>
      <c r="O1933">
        <v>1.024515506470716E-2</v>
      </c>
      <c r="P1933">
        <v>1.4240273974387879E-2</v>
      </c>
      <c r="Q1933">
        <v>4.5776981495773662E-4</v>
      </c>
      <c r="R1933">
        <v>7.3127605515178808E-4</v>
      </c>
      <c r="S1933">
        <v>7.133734654230138E-2</v>
      </c>
      <c r="T1933">
        <v>0.8593550040572161</v>
      </c>
      <c r="U1933">
        <v>0</v>
      </c>
      <c r="V1933">
        <v>9.2000428475420837E-2</v>
      </c>
      <c r="W1933">
        <v>4.749968243768668E-2</v>
      </c>
      <c r="X1933">
        <v>7.7605962331270158E-3</v>
      </c>
      <c r="Y1933">
        <v>1.9902923570363738E-3</v>
      </c>
    </row>
    <row r="1934" spans="1:25" x14ac:dyDescent="0.25">
      <c r="A1934" s="1096"/>
      <c r="B1934" s="1455">
        <v>1684</v>
      </c>
      <c r="C1934" s="1100">
        <v>0.98599006859526817</v>
      </c>
      <c r="D1934" s="1100">
        <v>1.0078198675025269</v>
      </c>
      <c r="E1934" s="1100">
        <v>0.99011644906972807</v>
      </c>
      <c r="F1934" s="1100">
        <v>0.97589998344249873</v>
      </c>
      <c r="G1934" s="1100">
        <v>1.0309840777892887</v>
      </c>
      <c r="H1934" s="1100">
        <v>1.010368273663959</v>
      </c>
      <c r="I1934" s="1100">
        <v>1.0161789993263264</v>
      </c>
      <c r="K1934">
        <v>1.1345001416037241</v>
      </c>
      <c r="L1934">
        <v>0</v>
      </c>
      <c r="M1934">
        <v>8.3494635143493111E-4</v>
      </c>
      <c r="N1934">
        <v>7.4573742377341101E-2</v>
      </c>
      <c r="O1934">
        <v>1.0460392425950567E-2</v>
      </c>
      <c r="P1934">
        <v>1.3225773349303006E-2</v>
      </c>
      <c r="Q1934">
        <v>4.4972107820144606E-4</v>
      </c>
      <c r="R1934">
        <v>8.3311612658135527E-4</v>
      </c>
      <c r="S1934">
        <v>7.5218300743515293E-2</v>
      </c>
      <c r="T1934">
        <v>0.80832728086630379</v>
      </c>
      <c r="U1934">
        <v>0</v>
      </c>
      <c r="V1934">
        <v>9.3771185070426394E-2</v>
      </c>
      <c r="W1934">
        <v>4.9279637638054964E-2</v>
      </c>
      <c r="X1934">
        <v>6.9284708195828434E-3</v>
      </c>
      <c r="Y1934">
        <v>2.2674674598971312E-3</v>
      </c>
    </row>
    <row r="1935" spans="1:25" x14ac:dyDescent="0.25">
      <c r="A1935" s="1096"/>
      <c r="B1935" s="1455">
        <v>1685</v>
      </c>
      <c r="C1935" s="1100">
        <v>0.98583209024413299</v>
      </c>
      <c r="D1935" s="1100">
        <v>1.0007794065280253</v>
      </c>
      <c r="E1935" s="1100">
        <v>1.046664743730441</v>
      </c>
      <c r="F1935" s="1100">
        <v>1.0074952195650595</v>
      </c>
      <c r="G1935" s="1100">
        <v>0.97439552556233622</v>
      </c>
      <c r="H1935" s="1100">
        <v>1.020450644865192</v>
      </c>
      <c r="I1935" s="1100">
        <v>1.0008545980631429</v>
      </c>
      <c r="K1935">
        <v>1.1627246197070245</v>
      </c>
      <c r="L1935">
        <v>0</v>
      </c>
      <c r="M1935">
        <v>7.5192381253700029E-4</v>
      </c>
      <c r="N1935">
        <v>7.9653985029933802E-2</v>
      </c>
      <c r="O1935">
        <v>1.0510267211385732E-2</v>
      </c>
      <c r="P1935">
        <v>1.4064117859593907E-2</v>
      </c>
      <c r="Q1935">
        <v>4.7802096895953821E-4</v>
      </c>
      <c r="R1935">
        <v>7.5029186041978646E-4</v>
      </c>
      <c r="S1935">
        <v>7.4847205675224474E-2</v>
      </c>
      <c r="T1935">
        <v>0.83075940141664195</v>
      </c>
      <c r="U1935">
        <v>0</v>
      </c>
      <c r="V1935">
        <v>9.1366013842217889E-2</v>
      </c>
      <c r="W1935">
        <v>5.0921512204248648E-2</v>
      </c>
      <c r="X1935">
        <v>8.0836803405176551E-3</v>
      </c>
      <c r="Y1935">
        <v>2.0420471104173436E-3</v>
      </c>
    </row>
    <row r="1936" spans="1:25" x14ac:dyDescent="0.25">
      <c r="A1936" s="1096"/>
      <c r="B1936" s="1455">
        <v>1686</v>
      </c>
      <c r="C1936" s="1100">
        <v>0.97968686669930527</v>
      </c>
      <c r="D1936" s="1100">
        <v>1.0120208181872643</v>
      </c>
      <c r="E1936" s="1100">
        <v>0.95845233182943268</v>
      </c>
      <c r="F1936" s="1100">
        <v>1.0038218490546493</v>
      </c>
      <c r="G1936" s="1100">
        <v>0.99838858994809998</v>
      </c>
      <c r="H1936" s="1100">
        <v>1.0117565348559643</v>
      </c>
      <c r="I1936" s="1100">
        <v>1.0005163234436045</v>
      </c>
      <c r="K1936">
        <v>1.1554008448045379</v>
      </c>
      <c r="L1936">
        <v>0</v>
      </c>
      <c r="M1936">
        <v>8.968638125942494E-4</v>
      </c>
      <c r="N1936">
        <v>7.2783030962772888E-2</v>
      </c>
      <c r="O1936">
        <v>1.0499707160913776E-2</v>
      </c>
      <c r="P1936">
        <v>1.3215823002881624E-2</v>
      </c>
      <c r="Q1936">
        <v>4.3706958033210697E-4</v>
      </c>
      <c r="R1936">
        <v>8.9490056053871615E-4</v>
      </c>
      <c r="S1936">
        <v>7.4396264346927365E-2</v>
      </c>
      <c r="T1936">
        <v>0.8335854269018923</v>
      </c>
      <c r="U1936">
        <v>0</v>
      </c>
      <c r="V1936">
        <v>9.2534730973577187E-2</v>
      </c>
      <c r="W1936">
        <v>4.902901984934039E-2</v>
      </c>
      <c r="X1936">
        <v>6.4861109560599402E-3</v>
      </c>
      <c r="Y1936">
        <v>2.4356243218958875E-3</v>
      </c>
    </row>
    <row r="1937" spans="1:25" x14ac:dyDescent="0.25">
      <c r="A1937" s="1096"/>
      <c r="B1937" s="1455">
        <v>1687</v>
      </c>
      <c r="C1937" s="1100">
        <v>1.0158338496685648</v>
      </c>
      <c r="D1937" s="1100">
        <v>0.98717303820663627</v>
      </c>
      <c r="E1937" s="1100">
        <v>1.0010745100316516</v>
      </c>
      <c r="F1937" s="1100">
        <v>0.96387840220486343</v>
      </c>
      <c r="G1937" s="1100">
        <v>1.0042754023484481</v>
      </c>
      <c r="H1937" s="1100">
        <v>1.0240414271277833</v>
      </c>
      <c r="I1937" s="1100">
        <v>1.0327696181465518</v>
      </c>
      <c r="K1937">
        <v>1.1220299319621814</v>
      </c>
      <c r="L1937">
        <v>0</v>
      </c>
      <c r="M1937">
        <v>8.0961250749276745E-4</v>
      </c>
      <c r="N1937">
        <v>7.4748074367677983E-2</v>
      </c>
      <c r="O1937">
        <v>1.0241041179279172E-2</v>
      </c>
      <c r="P1937">
        <v>1.3168692105795094E-2</v>
      </c>
      <c r="Q1937">
        <v>4.4517907728405988E-4</v>
      </c>
      <c r="R1937">
        <v>8.0786151106305938E-4</v>
      </c>
      <c r="S1937">
        <v>7.5573923193435977E-2</v>
      </c>
      <c r="T1937">
        <v>0.79766915978972686</v>
      </c>
      <c r="U1937">
        <v>0</v>
      </c>
      <c r="V1937">
        <v>9.1892315811830896E-2</v>
      </c>
      <c r="W1937">
        <v>4.9073067310566293E-2</v>
      </c>
      <c r="X1937">
        <v>7.0214974013759358E-3</v>
      </c>
      <c r="Y1937">
        <v>2.1987327216380992E-3</v>
      </c>
    </row>
    <row r="1938" spans="1:25" x14ac:dyDescent="0.25">
      <c r="A1938" s="1096"/>
      <c r="B1938" s="1455">
        <v>1688</v>
      </c>
      <c r="C1938" s="1100">
        <v>0.99230862436145828</v>
      </c>
      <c r="D1938" s="1100">
        <v>0.99002594539367417</v>
      </c>
      <c r="E1938" s="1100">
        <v>0.99532449064644191</v>
      </c>
      <c r="F1938" s="1100">
        <v>0.99105131378062883</v>
      </c>
      <c r="G1938" s="1100">
        <v>1.0208462474550322</v>
      </c>
      <c r="H1938" s="1100">
        <v>1.0165667401479499</v>
      </c>
      <c r="I1938" s="1100">
        <v>1.044371383749878</v>
      </c>
      <c r="K1938">
        <v>1.1504166006445293</v>
      </c>
      <c r="L1938">
        <v>0</v>
      </c>
      <c r="M1938">
        <v>8.3166550414392191E-4</v>
      </c>
      <c r="N1938">
        <v>7.5460379462174945E-2</v>
      </c>
      <c r="O1938">
        <v>1.0469832969157681E-2</v>
      </c>
      <c r="P1938">
        <v>1.34703835163862E-2</v>
      </c>
      <c r="Q1938">
        <v>4.5249912705397154E-4</v>
      </c>
      <c r="R1938">
        <v>8.2985358685219181E-4</v>
      </c>
      <c r="S1938">
        <v>7.7790599610888536E-2</v>
      </c>
      <c r="T1938">
        <v>0.82053403377131906</v>
      </c>
      <c r="U1938">
        <v>0</v>
      </c>
      <c r="V1938">
        <v>9.317836518746668E-2</v>
      </c>
      <c r="W1938">
        <v>4.9710541424465328E-2</v>
      </c>
      <c r="X1938">
        <v>7.0931895906585982E-3</v>
      </c>
      <c r="Y1938">
        <v>2.2585879022502817E-3</v>
      </c>
    </row>
    <row r="1939" spans="1:25" x14ac:dyDescent="0.25">
      <c r="A1939" s="1096"/>
      <c r="B1939" s="1455">
        <v>1689</v>
      </c>
      <c r="C1939" s="1100">
        <v>1.0364441463461953</v>
      </c>
      <c r="D1939" s="1100">
        <v>1.0165425610523458</v>
      </c>
      <c r="E1939" s="1100">
        <v>0.9906949752423152</v>
      </c>
      <c r="F1939" s="1100">
        <v>0.98072008111362141</v>
      </c>
      <c r="G1939" s="1100">
        <v>0.97901638734140917</v>
      </c>
      <c r="H1939" s="1100">
        <v>0.99191176695113015</v>
      </c>
      <c r="I1939" s="1100">
        <v>0.98199778081484301</v>
      </c>
      <c r="K1939">
        <v>1.1184347114133628</v>
      </c>
      <c r="L1939">
        <v>0</v>
      </c>
      <c r="M1939">
        <v>7.7617759046637454E-4</v>
      </c>
      <c r="N1939">
        <v>6.9443296949979486E-2</v>
      </c>
      <c r="O1939">
        <v>9.9171182298667428E-3</v>
      </c>
      <c r="P1939">
        <v>1.3142447562539227E-2</v>
      </c>
      <c r="Q1939">
        <v>4.2661355940456477E-4</v>
      </c>
      <c r="R1939">
        <v>7.7444453031965007E-4</v>
      </c>
      <c r="S1939">
        <v>6.8139042683237533E-2</v>
      </c>
      <c r="T1939">
        <v>0.81228197604652153</v>
      </c>
      <c r="U1939">
        <v>0</v>
      </c>
      <c r="V1939">
        <v>9.0325767726987263E-2</v>
      </c>
      <c r="W1939">
        <v>4.5873453143261543E-2</v>
      </c>
      <c r="X1939">
        <v>6.7789458557502829E-3</v>
      </c>
      <c r="Y1939">
        <v>2.1077827159592796E-3</v>
      </c>
    </row>
    <row r="1940" spans="1:25" x14ac:dyDescent="0.25">
      <c r="A1940" s="1096"/>
      <c r="B1940" s="1455">
        <v>1690</v>
      </c>
      <c r="C1940" s="1100">
        <v>1.0174387846007571</v>
      </c>
      <c r="D1940" s="1100">
        <v>1.0170407630471383</v>
      </c>
      <c r="E1940" s="1100">
        <v>1.0165775984959133</v>
      </c>
      <c r="F1940" s="1100">
        <v>0.99332024021174536</v>
      </c>
      <c r="G1940" s="1100">
        <v>1.0129878858259196</v>
      </c>
      <c r="H1940" s="1100">
        <v>1.0043867043926269</v>
      </c>
      <c r="I1940" s="1100">
        <v>1.0295638503973554</v>
      </c>
      <c r="K1940">
        <v>1.1412615573587164</v>
      </c>
      <c r="L1940">
        <v>0</v>
      </c>
      <c r="M1940">
        <v>7.5859835158619427E-4</v>
      </c>
      <c r="N1940">
        <v>7.3391312840968781E-2</v>
      </c>
      <c r="O1940">
        <v>1.0108661086387243E-2</v>
      </c>
      <c r="P1940">
        <v>1.3616228393293985E-2</v>
      </c>
      <c r="Q1940">
        <v>4.4629203541974888E-4</v>
      </c>
      <c r="R1940">
        <v>7.5692558048325129E-4</v>
      </c>
      <c r="S1940">
        <v>7.3296363033301795E-2</v>
      </c>
      <c r="T1940">
        <v>0.82101898814505136</v>
      </c>
      <c r="U1940">
        <v>0</v>
      </c>
      <c r="V1940">
        <v>9.2228500683114958E-2</v>
      </c>
      <c r="W1940">
        <v>4.7743462563494966E-2</v>
      </c>
      <c r="X1940">
        <v>7.3533194391615982E-3</v>
      </c>
      <c r="Y1940">
        <v>2.0601019096248637E-3</v>
      </c>
    </row>
    <row r="1941" spans="1:25" x14ac:dyDescent="0.25">
      <c r="A1941" s="1096"/>
      <c r="B1941" s="1455">
        <v>1691</v>
      </c>
      <c r="C1941" s="1100">
        <v>1.0157120273121552</v>
      </c>
      <c r="D1941" s="1100">
        <v>0.98619897621840102</v>
      </c>
      <c r="E1941" s="1100">
        <v>0.99594642221640928</v>
      </c>
      <c r="F1941" s="1100">
        <v>0.97831290437312268</v>
      </c>
      <c r="G1941" s="1100">
        <v>0.9701129090370969</v>
      </c>
      <c r="H1941" s="1100">
        <v>1.0275028382150009</v>
      </c>
      <c r="I1941" s="1100">
        <v>0.97928894071635686</v>
      </c>
      <c r="K1941">
        <v>1.1291658261689412</v>
      </c>
      <c r="L1941">
        <v>0</v>
      </c>
      <c r="M1941">
        <v>8.2145714548476079E-4</v>
      </c>
      <c r="N1941">
        <v>7.4676094576799537E-2</v>
      </c>
      <c r="O1941">
        <v>1.0244653474550598E-2</v>
      </c>
      <c r="P1941">
        <v>1.3214444066388716E-2</v>
      </c>
      <c r="Q1941">
        <v>4.4304457479884873E-4</v>
      </c>
      <c r="R1941">
        <v>8.1968651694778398E-4</v>
      </c>
      <c r="S1941">
        <v>7.1835857486996654E-2</v>
      </c>
      <c r="T1941">
        <v>0.8099469885464774</v>
      </c>
      <c r="U1941">
        <v>0</v>
      </c>
      <c r="V1941">
        <v>9.0433880852273052E-2</v>
      </c>
      <c r="W1941">
        <v>4.9175639653237888E-2</v>
      </c>
      <c r="X1941">
        <v>6.9660770764114833E-3</v>
      </c>
      <c r="Y1941">
        <v>2.2309164895441764E-3</v>
      </c>
    </row>
    <row r="1942" spans="1:25" x14ac:dyDescent="0.25">
      <c r="A1942" s="1096"/>
      <c r="B1942" s="1455">
        <v>1692</v>
      </c>
      <c r="C1942" s="1100">
        <v>1.0226552462415461</v>
      </c>
      <c r="D1942" s="1100">
        <v>0.97572377393627041</v>
      </c>
      <c r="E1942" s="1100">
        <v>0.99426486703557981</v>
      </c>
      <c r="F1942" s="1100">
        <v>0.97446668269764625</v>
      </c>
      <c r="G1942" s="1100">
        <v>0.98576448569779518</v>
      </c>
      <c r="H1942" s="1100">
        <v>1.0106462757716659</v>
      </c>
      <c r="I1942" s="1100">
        <v>1.0050852984769487</v>
      </c>
      <c r="K1942">
        <v>1.1250638201803362</v>
      </c>
      <c r="L1942">
        <v>0</v>
      </c>
      <c r="M1942">
        <v>8.0874416694545661E-4</v>
      </c>
      <c r="N1942">
        <v>7.314506700452568E-2</v>
      </c>
      <c r="O1942">
        <v>1.0218110622158385E-2</v>
      </c>
      <c r="P1942">
        <v>1.3177972214296105E-2</v>
      </c>
      <c r="Q1942">
        <v>4.411483761769039E-4</v>
      </c>
      <c r="R1942">
        <v>8.0697186563228229E-4</v>
      </c>
      <c r="S1942">
        <v>7.2946558721166149E-2</v>
      </c>
      <c r="T1942">
        <v>0.80687143891862156</v>
      </c>
      <c r="U1942">
        <v>0</v>
      </c>
      <c r="V1942">
        <v>9.0937185035865356E-2</v>
      </c>
      <c r="W1942">
        <v>4.8215779069480338E-2</v>
      </c>
      <c r="X1942">
        <v>6.9160211193108525E-3</v>
      </c>
      <c r="Y1942">
        <v>2.1963114000470609E-3</v>
      </c>
    </row>
    <row r="1943" spans="1:25" x14ac:dyDescent="0.25">
      <c r="A1943" s="1096"/>
      <c r="B1943" s="1455">
        <v>1693</v>
      </c>
      <c r="C1943" s="1100">
        <v>0.97580571119983217</v>
      </c>
      <c r="D1943" s="1100">
        <v>1.003135411744847</v>
      </c>
      <c r="E1943" s="1100">
        <v>0.99986933763422647</v>
      </c>
      <c r="F1943" s="1100">
        <v>0.98060158955782484</v>
      </c>
      <c r="G1943" s="1100">
        <v>0.98713645574858344</v>
      </c>
      <c r="H1943" s="1100">
        <v>1.0404035159485028</v>
      </c>
      <c r="I1943" s="1100">
        <v>1.0036903089570703</v>
      </c>
      <c r="K1943">
        <v>1.144172038430048</v>
      </c>
      <c r="L1943">
        <v>0</v>
      </c>
      <c r="M1943">
        <v>8.5294313656581876E-4</v>
      </c>
      <c r="N1943">
        <v>7.8465082186896171E-2</v>
      </c>
      <c r="O1943">
        <v>1.059254634545421E-2</v>
      </c>
      <c r="P1943">
        <v>1.3363053502757301E-2</v>
      </c>
      <c r="Q1943">
        <v>4.5990171834252563E-4</v>
      </c>
      <c r="R1943">
        <v>8.5112743760262365E-4</v>
      </c>
      <c r="S1943">
        <v>7.6515855032305749E-2</v>
      </c>
      <c r="T1943">
        <v>0.81158685684852494</v>
      </c>
      <c r="U1943">
        <v>0</v>
      </c>
      <c r="V1943">
        <v>9.2160160248985018E-2</v>
      </c>
      <c r="W1943">
        <v>5.15502283772106E-2</v>
      </c>
      <c r="X1943">
        <v>7.163681557464394E-3</v>
      </c>
      <c r="Y1943">
        <v>2.3164883110699422E-3</v>
      </c>
    </row>
    <row r="1944" spans="1:25" x14ac:dyDescent="0.25">
      <c r="A1944" s="1096"/>
      <c r="B1944" s="1455">
        <v>1694</v>
      </c>
      <c r="C1944" s="1100">
        <v>1.0148836789834204</v>
      </c>
      <c r="D1944" s="1100">
        <v>1.0041909014893737</v>
      </c>
      <c r="E1944" s="1100">
        <v>0.98828655637400598</v>
      </c>
      <c r="F1944" s="1100">
        <v>0.98628105413934719</v>
      </c>
      <c r="G1944" s="1100">
        <v>0.98515885672978587</v>
      </c>
      <c r="H1944" s="1100">
        <v>0.96773302420786977</v>
      </c>
      <c r="I1944" s="1100">
        <v>0.95560866147354606</v>
      </c>
      <c r="K1944">
        <v>1.1233345343815642</v>
      </c>
      <c r="L1944">
        <v>0</v>
      </c>
      <c r="M1944">
        <v>7.810216144253072E-4</v>
      </c>
      <c r="N1944">
        <v>6.936581307680062E-2</v>
      </c>
      <c r="O1944">
        <v>1.0176672639314401E-2</v>
      </c>
      <c r="P1944">
        <v>1.3180903692391081E-2</v>
      </c>
      <c r="Q1944">
        <v>4.3671433347163376E-4</v>
      </c>
      <c r="R1944">
        <v>7.792341678542038E-4</v>
      </c>
      <c r="S1944">
        <v>6.7215963426546579E-2</v>
      </c>
      <c r="T1944">
        <v>0.81704592474339455</v>
      </c>
      <c r="U1944">
        <v>0</v>
      </c>
      <c r="V1944">
        <v>9.109597202577252E-2</v>
      </c>
      <c r="W1944">
        <v>4.5888454466046905E-2</v>
      </c>
      <c r="X1944">
        <v>6.8090848939711349E-3</v>
      </c>
      <c r="Y1944">
        <v>2.1208185304247462E-3</v>
      </c>
    </row>
    <row r="1945" spans="1:25" x14ac:dyDescent="0.25">
      <c r="A1945" s="1096"/>
      <c r="B1945" s="1455">
        <v>1695</v>
      </c>
      <c r="C1945" s="1100">
        <v>1.0196930015079568</v>
      </c>
      <c r="D1945" s="1100">
        <v>0.99504372453033263</v>
      </c>
      <c r="E1945" s="1100">
        <v>1.0105432043540112</v>
      </c>
      <c r="F1945" s="1100">
        <v>0.98260611638955397</v>
      </c>
      <c r="G1945" s="1100">
        <v>0.99932823876311661</v>
      </c>
      <c r="H1945" s="1100">
        <v>0.98904326413281263</v>
      </c>
      <c r="I1945" s="1100">
        <v>0.98204668738982526</v>
      </c>
      <c r="K1945">
        <v>1.1268937539624706</v>
      </c>
      <c r="L1945">
        <v>0</v>
      </c>
      <c r="M1945">
        <v>7.6139678826480739E-4</v>
      </c>
      <c r="N1945">
        <v>7.2330102312421277E-2</v>
      </c>
      <c r="O1945">
        <v>1.0172974267326693E-2</v>
      </c>
      <c r="P1945">
        <v>1.3384440229225825E-2</v>
      </c>
      <c r="Q1945">
        <v>4.4643560881636594E-4</v>
      </c>
      <c r="R1945">
        <v>7.5969180025623828E-4</v>
      </c>
      <c r="S1945">
        <v>6.9936371187278884E-2</v>
      </c>
      <c r="T1945">
        <v>0.81255328682939576</v>
      </c>
      <c r="U1945">
        <v>0</v>
      </c>
      <c r="V1945">
        <v>9.1589867104551012E-2</v>
      </c>
      <c r="W1945">
        <v>4.7220369010024771E-2</v>
      </c>
      <c r="X1945">
        <v>7.1939817534746771E-3</v>
      </c>
      <c r="Y1945">
        <v>2.0676306479628305E-3</v>
      </c>
    </row>
    <row r="1946" spans="1:25" x14ac:dyDescent="0.25">
      <c r="A1946" s="1096"/>
      <c r="B1946" s="1455">
        <v>1696</v>
      </c>
      <c r="C1946" s="1100">
        <v>0.99745349627179103</v>
      </c>
      <c r="D1946" s="1100">
        <v>0.98388598213969791</v>
      </c>
      <c r="E1946" s="1100">
        <v>0.95706381940072927</v>
      </c>
      <c r="F1946" s="1100">
        <v>1.0050464660234522</v>
      </c>
      <c r="G1946" s="1100">
        <v>0.98955587573838133</v>
      </c>
      <c r="H1946" s="1100">
        <v>0.9870382454835861</v>
      </c>
      <c r="I1946" s="1100">
        <v>0.97741743845964191</v>
      </c>
      <c r="K1946">
        <v>1.1485838389397507</v>
      </c>
      <c r="L1946">
        <v>0</v>
      </c>
      <c r="M1946">
        <v>8.7160435998336484E-4</v>
      </c>
      <c r="N1946">
        <v>7.0432261949304173E-2</v>
      </c>
      <c r="O1946">
        <v>1.0429193425114331E-2</v>
      </c>
      <c r="P1946">
        <v>1.3166135439350512E-2</v>
      </c>
      <c r="Q1946">
        <v>4.3351442201701592E-4</v>
      </c>
      <c r="R1946">
        <v>8.6964862055668307E-4</v>
      </c>
      <c r="S1946">
        <v>7.1430626197182545E-2</v>
      </c>
      <c r="T1946">
        <v>0.83469665902956836</v>
      </c>
      <c r="U1946">
        <v>0</v>
      </c>
      <c r="V1946">
        <v>9.1706405473551328E-2</v>
      </c>
      <c r="W1946">
        <v>4.7485970685848151E-2</v>
      </c>
      <c r="X1946">
        <v>6.4381311916768989E-3</v>
      </c>
      <c r="Y1946">
        <v>2.3668968655645712E-3</v>
      </c>
    </row>
    <row r="1947" spans="1:25" x14ac:dyDescent="0.25">
      <c r="A1947" s="1096"/>
      <c r="B1947" s="1455">
        <v>1697</v>
      </c>
      <c r="C1947" s="1100">
        <v>0.99827609977848186</v>
      </c>
      <c r="D1947" s="1100">
        <v>1.0392661906879581</v>
      </c>
      <c r="E1947" s="1100">
        <v>0.99802810514805607</v>
      </c>
      <c r="F1947" s="1100">
        <v>1.0035862099703461</v>
      </c>
      <c r="G1947" s="1100">
        <v>1.0116918939986814</v>
      </c>
      <c r="H1947" s="1100">
        <v>0.99898937863826309</v>
      </c>
      <c r="I1947" s="1100">
        <v>0.96243846662253263</v>
      </c>
      <c r="K1947">
        <v>1.1457343922528387</v>
      </c>
      <c r="L1947">
        <v>0</v>
      </c>
      <c r="M1947">
        <v>7.9232497779611378E-4</v>
      </c>
      <c r="N1947">
        <v>7.2477838021150626E-2</v>
      </c>
      <c r="O1947">
        <v>1.0208005006569466E-2</v>
      </c>
      <c r="P1947">
        <v>1.3507094340822829E-2</v>
      </c>
      <c r="Q1947">
        <v>4.4238591104847684E-4</v>
      </c>
      <c r="R1947">
        <v>7.9056839730845313E-4</v>
      </c>
      <c r="S1947">
        <v>6.8834571229366051E-2</v>
      </c>
      <c r="T1947">
        <v>0.83073228768715546</v>
      </c>
      <c r="U1947">
        <v>0</v>
      </c>
      <c r="V1947">
        <v>9.2638053368667456E-2</v>
      </c>
      <c r="W1947">
        <v>4.7668890626084238E-2</v>
      </c>
      <c r="X1947">
        <v>7.075356075789874E-3</v>
      </c>
      <c r="Y1947">
        <v>2.1516665666714775E-3</v>
      </c>
    </row>
    <row r="1948" spans="1:25" x14ac:dyDescent="0.25">
      <c r="A1948" s="1096"/>
      <c r="B1948" s="1455">
        <v>1698</v>
      </c>
      <c r="C1948" s="1100">
        <v>0.99737520624132203</v>
      </c>
      <c r="D1948" s="1100">
        <v>0.99964626987016447</v>
      </c>
      <c r="E1948" s="1100">
        <v>0.97172827389003369</v>
      </c>
      <c r="F1948" s="1100">
        <v>0.97528647582627881</v>
      </c>
      <c r="G1948" s="1100">
        <v>0.99691028393045567</v>
      </c>
      <c r="H1948" s="1100">
        <v>0.96758825330460074</v>
      </c>
      <c r="I1948" s="1100">
        <v>0.97647481161341698</v>
      </c>
      <c r="K1948">
        <v>1.1197085812017102</v>
      </c>
      <c r="L1948">
        <v>0</v>
      </c>
      <c r="M1948">
        <v>8.2378434193503425E-4</v>
      </c>
      <c r="N1948">
        <v>6.9588549315892451E-2</v>
      </c>
      <c r="O1948">
        <v>1.0368707956249798E-2</v>
      </c>
      <c r="P1948">
        <v>1.2958826429039606E-2</v>
      </c>
      <c r="Q1948">
        <v>4.3752934389965575E-4</v>
      </c>
      <c r="R1948">
        <v>8.2189874647687212E-4</v>
      </c>
      <c r="S1948">
        <v>7.0028520292378146E-2</v>
      </c>
      <c r="T1948">
        <v>0.80901749091019559</v>
      </c>
      <c r="U1948">
        <v>0</v>
      </c>
      <c r="V1948">
        <v>9.202480514928843E-2</v>
      </c>
      <c r="W1948">
        <v>4.6498392897122931E-2</v>
      </c>
      <c r="X1948">
        <v>6.5507070540405839E-3</v>
      </c>
      <c r="Y1948">
        <v>2.2369374490610861E-3</v>
      </c>
    </row>
    <row r="1949" spans="1:25" x14ac:dyDescent="0.25">
      <c r="A1949" s="1096"/>
      <c r="B1949" s="1455">
        <v>1699</v>
      </c>
      <c r="C1949" s="1100">
        <v>0.98568204086509226</v>
      </c>
      <c r="D1949" s="1100">
        <v>0.96605429086671235</v>
      </c>
      <c r="E1949" s="1100">
        <v>0.958284732687403</v>
      </c>
      <c r="F1949" s="1100">
        <v>1.0002538970082842</v>
      </c>
      <c r="G1949" s="1100">
        <v>1.0039567504478226</v>
      </c>
      <c r="H1949" s="1100">
        <v>1.0150639272177666</v>
      </c>
      <c r="I1949" s="1100">
        <v>0.96529384729255363</v>
      </c>
      <c r="K1949">
        <v>1.1533768573888672</v>
      </c>
      <c r="L1949">
        <v>0</v>
      </c>
      <c r="M1949">
        <v>9.1142191375392109E-4</v>
      </c>
      <c r="N1949">
        <v>7.3927432950586972E-2</v>
      </c>
      <c r="O1949">
        <v>1.0631645935775565E-2</v>
      </c>
      <c r="P1949">
        <v>1.3160367080201673E-2</v>
      </c>
      <c r="Q1949">
        <v>4.4248547580840873E-4</v>
      </c>
      <c r="R1949">
        <v>9.0943329445460444E-4</v>
      </c>
      <c r="S1949">
        <v>7.3195273917904355E-2</v>
      </c>
      <c r="T1949">
        <v>0.83063388203077482</v>
      </c>
      <c r="U1949">
        <v>0</v>
      </c>
      <c r="V1949">
        <v>9.2619162068610206E-2</v>
      </c>
      <c r="W1949">
        <v>4.9805053668570839E-2</v>
      </c>
      <c r="X1949">
        <v>6.4883652470334443E-3</v>
      </c>
      <c r="Y1949">
        <v>2.4751776329004879E-3</v>
      </c>
    </row>
    <row r="1950" spans="1:25" x14ac:dyDescent="0.25">
      <c r="A1950" s="1096"/>
      <c r="B1950" s="1455">
        <v>1700</v>
      </c>
      <c r="C1950" s="1100">
        <v>0.99601838724433334</v>
      </c>
      <c r="D1950" s="1100">
        <v>1.0321767335558918</v>
      </c>
      <c r="E1950" s="1100">
        <v>1.0170010650585311</v>
      </c>
      <c r="F1950" s="1100">
        <v>0.9942682328635073</v>
      </c>
      <c r="G1950" s="1100">
        <v>0.98949653045123076</v>
      </c>
      <c r="H1950" s="1100">
        <v>1.0085393740768425</v>
      </c>
      <c r="I1950" s="1100">
        <v>1.0001756002527422</v>
      </c>
      <c r="K1950">
        <v>1.1432646763028604</v>
      </c>
      <c r="L1950">
        <v>0</v>
      </c>
      <c r="M1950">
        <v>7.7285136969281983E-4</v>
      </c>
      <c r="N1950">
        <v>7.486651882795485E-2</v>
      </c>
      <c r="O1950">
        <v>1.0265358359097924E-2</v>
      </c>
      <c r="P1950">
        <v>1.3611267780576312E-2</v>
      </c>
      <c r="Q1950">
        <v>4.5340131045032704E-4</v>
      </c>
      <c r="R1950">
        <v>7.7115418658406604E-4</v>
      </c>
      <c r="S1950">
        <v>7.2355033586486067E-2</v>
      </c>
      <c r="T1950">
        <v>0.82177489631379852</v>
      </c>
      <c r="U1950">
        <v>0</v>
      </c>
      <c r="V1950">
        <v>9.1748477356200342E-2</v>
      </c>
      <c r="W1950">
        <v>4.869103734333969E-2</v>
      </c>
      <c r="X1950">
        <v>7.4015551230919314E-3</v>
      </c>
      <c r="Y1950">
        <v>2.0988274849725401E-3</v>
      </c>
    </row>
    <row r="1951" spans="1:25" x14ac:dyDescent="0.25">
      <c r="A1951" s="1096"/>
      <c r="B1951" s="1455">
        <v>1701</v>
      </c>
      <c r="C1951" s="1100">
        <v>0.99910397299587961</v>
      </c>
      <c r="D1951" s="1100">
        <v>1.004836021953406</v>
      </c>
      <c r="E1951" s="1100">
        <v>0.99941548536581992</v>
      </c>
      <c r="F1951" s="1100">
        <v>1.0223175689586499</v>
      </c>
      <c r="G1951" s="1100">
        <v>1.0364335052855376</v>
      </c>
      <c r="H1951" s="1100">
        <v>0.98945100572223288</v>
      </c>
      <c r="I1951" s="1100">
        <v>1.021293848067945</v>
      </c>
      <c r="K1951">
        <v>1.1682888685011741</v>
      </c>
      <c r="L1951">
        <v>0</v>
      </c>
      <c r="M1951">
        <v>7.9246449351736889E-4</v>
      </c>
      <c r="N1951">
        <v>7.2793557066888087E-2</v>
      </c>
      <c r="O1951">
        <v>1.0338381536545082E-2</v>
      </c>
      <c r="P1951">
        <v>1.3813802427475505E-2</v>
      </c>
      <c r="Q1951">
        <v>4.4866175364825328E-4</v>
      </c>
      <c r="R1951">
        <v>7.906906671906412E-4</v>
      </c>
      <c r="S1951">
        <v>7.3861097982077156E-2</v>
      </c>
      <c r="T1951">
        <v>0.84614346792714157</v>
      </c>
      <c r="U1951">
        <v>0</v>
      </c>
      <c r="V1951">
        <v>9.3675472427700246E-2</v>
      </c>
      <c r="W1951">
        <v>4.7837038252646409E-2</v>
      </c>
      <c r="X1951">
        <v>7.2271636083919575E-3</v>
      </c>
      <c r="Y1951">
        <v>2.1519993449845374E-3</v>
      </c>
    </row>
    <row r="1952" spans="1:25" x14ac:dyDescent="0.25">
      <c r="A1952" s="1096"/>
      <c r="B1952" s="1455">
        <v>1702</v>
      </c>
      <c r="C1952" s="1100">
        <v>1.0391784606480468</v>
      </c>
      <c r="D1952" s="1100">
        <v>0.98309103569406342</v>
      </c>
      <c r="E1952" s="1100">
        <v>1.0121856365704698</v>
      </c>
      <c r="F1952" s="1100">
        <v>0.97845484020889262</v>
      </c>
      <c r="G1952" s="1100">
        <v>0.99552610512841466</v>
      </c>
      <c r="H1952" s="1100">
        <v>0.99089910913656232</v>
      </c>
      <c r="I1952" s="1100">
        <v>1.0258453165014942</v>
      </c>
      <c r="K1952">
        <v>1.1234920369505499</v>
      </c>
      <c r="L1952">
        <v>0</v>
      </c>
      <c r="M1952">
        <v>7.4958635255130033E-4</v>
      </c>
      <c r="N1952">
        <v>7.1562378822694769E-2</v>
      </c>
      <c r="O1952">
        <v>1.0031115007245706E-2</v>
      </c>
      <c r="P1952">
        <v>1.337482085359927E-2</v>
      </c>
      <c r="Q1952">
        <v>4.4093299304822227E-4</v>
      </c>
      <c r="R1952">
        <v>7.4791095525277788E-4</v>
      </c>
      <c r="S1952">
        <v>7.2209567993922738E-2</v>
      </c>
      <c r="T1952">
        <v>0.8090146408840736</v>
      </c>
      <c r="U1952">
        <v>0</v>
      </c>
      <c r="V1952">
        <v>9.0971776554995609E-2</v>
      </c>
      <c r="W1952">
        <v>4.6673987129576155E-2</v>
      </c>
      <c r="X1952">
        <v>7.1789250372751795E-3</v>
      </c>
      <c r="Y1952">
        <v>2.0355670714179235E-3</v>
      </c>
    </row>
    <row r="1953" spans="1:25" x14ac:dyDescent="0.25">
      <c r="A1953" s="1096"/>
      <c r="B1953" s="1455">
        <v>1703</v>
      </c>
      <c r="C1953" s="1100">
        <v>1.0204607254053433</v>
      </c>
      <c r="D1953" s="1100">
        <v>1.0082145323074014</v>
      </c>
      <c r="E1953" s="1100">
        <v>0.99365603937030322</v>
      </c>
      <c r="F1953" s="1100">
        <v>0.97150362109362687</v>
      </c>
      <c r="G1953" s="1100">
        <v>0.9664989056593899</v>
      </c>
      <c r="H1953" s="1100">
        <v>1.009358697883374</v>
      </c>
      <c r="I1953" s="1100">
        <v>1.0080264629926936</v>
      </c>
      <c r="K1953">
        <v>1.1191894524827786</v>
      </c>
      <c r="L1953">
        <v>0</v>
      </c>
      <c r="M1953">
        <v>7.9992264803088254E-4</v>
      </c>
      <c r="N1953">
        <v>7.2214009950165373E-2</v>
      </c>
      <c r="O1953">
        <v>1.0106592935148467E-2</v>
      </c>
      <c r="P1953">
        <v>1.3116455413146023E-2</v>
      </c>
      <c r="Q1953">
        <v>4.3606596195671764E-4</v>
      </c>
      <c r="R1953">
        <v>7.9816744224786714E-4</v>
      </c>
      <c r="S1953">
        <v>7.2043601436330124E-2</v>
      </c>
      <c r="T1953">
        <v>0.80445725865674256</v>
      </c>
      <c r="U1953">
        <v>0</v>
      </c>
      <c r="V1953">
        <v>9.0165461501018437E-2</v>
      </c>
      <c r="W1953">
        <v>4.7619355210735029E-2</v>
      </c>
      <c r="X1953">
        <v>6.860057961347134E-3</v>
      </c>
      <c r="Y1953">
        <v>2.1723486619720715E-3</v>
      </c>
    </row>
    <row r="1954" spans="1:25" x14ac:dyDescent="0.25">
      <c r="A1954" s="1096"/>
      <c r="B1954" s="1455">
        <v>1704</v>
      </c>
      <c r="C1954" s="1100">
        <v>0.99003661886678218</v>
      </c>
      <c r="D1954" s="1100">
        <v>0.95849394659671328</v>
      </c>
      <c r="E1954" s="1100">
        <v>1.0073190320991394</v>
      </c>
      <c r="F1954" s="1100">
        <v>0.96407163751006819</v>
      </c>
      <c r="G1954" s="1100">
        <v>1.0107245225190438</v>
      </c>
      <c r="H1954" s="1100">
        <v>0.97511716731968756</v>
      </c>
      <c r="I1954" s="1100">
        <v>0.96033756620536337</v>
      </c>
      <c r="K1954">
        <v>1.118032308039423</v>
      </c>
      <c r="L1954">
        <v>0</v>
      </c>
      <c r="M1954">
        <v>7.9009694032752831E-4</v>
      </c>
      <c r="N1954">
        <v>7.4327041154698625E-2</v>
      </c>
      <c r="O1954">
        <v>1.0634642879994214E-2</v>
      </c>
      <c r="P1954">
        <v>1.3179891031881838E-2</v>
      </c>
      <c r="Q1954">
        <v>4.6519306466447216E-4</v>
      </c>
      <c r="R1954">
        <v>7.8830241680491876E-4</v>
      </c>
      <c r="S1954">
        <v>7.1246068209843513E-2</v>
      </c>
      <c r="T1954">
        <v>0.79743132878177359</v>
      </c>
      <c r="U1954">
        <v>0</v>
      </c>
      <c r="V1954">
        <v>9.2804676998481467E-2</v>
      </c>
      <c r="W1954">
        <v>4.8616481649310095E-2</v>
      </c>
      <c r="X1954">
        <v>7.1832794775752926E-3</v>
      </c>
      <c r="Y1954">
        <v>2.1454993147211284E-3</v>
      </c>
    </row>
    <row r="1955" spans="1:25" x14ac:dyDescent="0.25">
      <c r="A1955" s="1096"/>
      <c r="B1955" s="1455">
        <v>1705</v>
      </c>
      <c r="C1955" s="1100">
        <v>0.98816263108754099</v>
      </c>
      <c r="D1955" s="1100">
        <v>1.0047974880258888</v>
      </c>
      <c r="E1955" s="1100">
        <v>1.031209754435545</v>
      </c>
      <c r="F1955" s="1100">
        <v>0.99190928191862093</v>
      </c>
      <c r="G1955" s="1100">
        <v>0.98989987759853215</v>
      </c>
      <c r="H1955" s="1100">
        <v>0.96669094204450789</v>
      </c>
      <c r="I1955" s="1100">
        <v>1.0148882040798444</v>
      </c>
      <c r="K1955">
        <v>1.1403517085379065</v>
      </c>
      <c r="L1955">
        <v>0</v>
      </c>
      <c r="M1955">
        <v>7.3274479760416958E-4</v>
      </c>
      <c r="N1955">
        <v>7.4082095096885806E-2</v>
      </c>
      <c r="O1955">
        <v>1.0463548024248601E-2</v>
      </c>
      <c r="P1955">
        <v>1.3729562357960736E-2</v>
      </c>
      <c r="Q1955">
        <v>4.6871454602583768E-4</v>
      </c>
      <c r="R1955">
        <v>7.3106602964261665E-4</v>
      </c>
      <c r="S1955">
        <v>7.3300463042524383E-2</v>
      </c>
      <c r="T1955">
        <v>0.81890313239894619</v>
      </c>
      <c r="U1955">
        <v>0</v>
      </c>
      <c r="V1955">
        <v>9.1966131256801642E-2</v>
      </c>
      <c r="W1955">
        <v>4.7783288015932929E-2</v>
      </c>
      <c r="X1955">
        <v>7.666731829705376E-3</v>
      </c>
      <c r="Y1955">
        <v>1.9897207368352997E-3</v>
      </c>
    </row>
    <row r="1956" spans="1:25" x14ac:dyDescent="0.25">
      <c r="A1956" s="1096"/>
      <c r="B1956" s="1455">
        <v>1706</v>
      </c>
      <c r="C1956" s="1100">
        <v>1.0352624882550425</v>
      </c>
      <c r="D1956" s="1100">
        <v>1.0059625477287759</v>
      </c>
      <c r="E1956" s="1100">
        <v>1.0102222477868847</v>
      </c>
      <c r="F1956" s="1100">
        <v>1.036781022600241</v>
      </c>
      <c r="G1956" s="1100">
        <v>0.98538873335136423</v>
      </c>
      <c r="H1956" s="1100">
        <v>0.99740469821782674</v>
      </c>
      <c r="I1956" s="1100">
        <v>1.0024354678893139</v>
      </c>
      <c r="K1956">
        <v>1.1702595428139466</v>
      </c>
      <c r="L1956">
        <v>0</v>
      </c>
      <c r="M1956">
        <v>7.5349411038023236E-4</v>
      </c>
      <c r="N1956">
        <v>7.1511397720374972E-2</v>
      </c>
      <c r="O1956">
        <v>9.97623414937082E-3</v>
      </c>
      <c r="P1956">
        <v>1.3987966548400678E-2</v>
      </c>
      <c r="Q1956">
        <v>4.3766136012565846E-4</v>
      </c>
      <c r="R1956">
        <v>7.5182096364503307E-4</v>
      </c>
      <c r="S1956">
        <v>7.0249688822558054E-2</v>
      </c>
      <c r="T1956">
        <v>0.85737443600884955</v>
      </c>
      <c r="U1956">
        <v>0</v>
      </c>
      <c r="V1956">
        <v>9.0628375090594002E-2</v>
      </c>
      <c r="W1956">
        <v>4.6694715507576638E-2</v>
      </c>
      <c r="X1956">
        <v>7.3545319275030233E-3</v>
      </c>
      <c r="Y1956">
        <v>2.0462088253277214E-3</v>
      </c>
    </row>
    <row r="1957" spans="1:25" x14ac:dyDescent="0.25">
      <c r="A1957" s="1096"/>
      <c r="B1957" s="1455">
        <v>1707</v>
      </c>
      <c r="C1957" s="1100">
        <v>0.99246028748389326</v>
      </c>
      <c r="D1957" s="1100">
        <v>1.0163385608181319</v>
      </c>
      <c r="E1957" s="1100">
        <v>0.99659533966616021</v>
      </c>
      <c r="F1957" s="1100">
        <v>0.99559595080164331</v>
      </c>
      <c r="G1957" s="1100">
        <v>1.0015385504561873</v>
      </c>
      <c r="H1957" s="1100">
        <v>1.0149948923911636</v>
      </c>
      <c r="I1957" s="1100">
        <v>1.0030222304848542</v>
      </c>
      <c r="K1957">
        <v>1.1475474384929092</v>
      </c>
      <c r="L1957">
        <v>0</v>
      </c>
      <c r="M1957">
        <v>8.1942537513860923E-4</v>
      </c>
      <c r="N1957">
        <v>7.4635631040370215E-2</v>
      </c>
      <c r="O1957">
        <v>1.0359387926537225E-2</v>
      </c>
      <c r="P1957">
        <v>1.3465451596853544E-2</v>
      </c>
      <c r="Q1957">
        <v>4.4829935363101318E-4</v>
      </c>
      <c r="R1957">
        <v>8.1763736025458372E-4</v>
      </c>
      <c r="S1957">
        <v>7.3639643787816719E-2</v>
      </c>
      <c r="T1957">
        <v>0.82421280309673661</v>
      </c>
      <c r="U1957">
        <v>0</v>
      </c>
      <c r="V1957">
        <v>9.2349211966726227E-2</v>
      </c>
      <c r="W1957">
        <v>4.9129985571745499E-2</v>
      </c>
      <c r="X1957">
        <v>7.0834728068466454E-3</v>
      </c>
      <c r="Y1957">
        <v>2.2253393605296077E-3</v>
      </c>
    </row>
    <row r="1958" spans="1:25" x14ac:dyDescent="0.25">
      <c r="A1958" s="1096"/>
      <c r="B1958" s="1455">
        <v>1708</v>
      </c>
      <c r="C1958" s="1100">
        <v>0.98693032728461705</v>
      </c>
      <c r="D1958" s="1100">
        <v>0.99250892763626353</v>
      </c>
      <c r="E1958" s="1100">
        <v>0.99284282449248917</v>
      </c>
      <c r="F1958" s="1100">
        <v>0.9903369449081062</v>
      </c>
      <c r="G1958" s="1100">
        <v>1.0187891039345536</v>
      </c>
      <c r="H1958" s="1100">
        <v>0.98107440779938881</v>
      </c>
      <c r="I1958" s="1100">
        <v>0.98775703756887601</v>
      </c>
      <c r="K1958">
        <v>1.1404246131482147</v>
      </c>
      <c r="L1958">
        <v>0</v>
      </c>
      <c r="M1958">
        <v>8.103515076243003E-4</v>
      </c>
      <c r="N1958">
        <v>7.2971257800395969E-2</v>
      </c>
      <c r="O1958">
        <v>1.0515521764869772E-2</v>
      </c>
      <c r="P1958">
        <v>1.3367350122901227E-2</v>
      </c>
      <c r="Q1958">
        <v>4.5333777313969311E-4</v>
      </c>
      <c r="R1958">
        <v>8.0852215648404382E-4</v>
      </c>
      <c r="S1958">
        <v>7.2427376423526285E-2</v>
      </c>
      <c r="T1958">
        <v>0.82010575837429478</v>
      </c>
      <c r="U1958">
        <v>0</v>
      </c>
      <c r="V1958">
        <v>9.3226159097986719E-2</v>
      </c>
      <c r="W1958">
        <v>4.8142086788515941E-2</v>
      </c>
      <c r="X1958">
        <v>7.0170635730307717E-3</v>
      </c>
      <c r="Y1958">
        <v>2.2005307806923138E-3</v>
      </c>
    </row>
    <row r="1959" spans="1:25" x14ac:dyDescent="0.25">
      <c r="A1959" s="1096"/>
      <c r="B1959" s="1455">
        <v>1709</v>
      </c>
      <c r="C1959" s="1100">
        <v>0.99914766677760747</v>
      </c>
      <c r="D1959" s="1100">
        <v>0.98841709528547361</v>
      </c>
      <c r="E1959" s="1100">
        <v>0.99327036621833698</v>
      </c>
      <c r="F1959" s="1100">
        <v>0.99612150993818349</v>
      </c>
      <c r="G1959" s="1100">
        <v>0.98426005286671936</v>
      </c>
      <c r="H1959" s="1100">
        <v>1.0180932514642189</v>
      </c>
      <c r="I1959" s="1100">
        <v>1.0200227479892536</v>
      </c>
      <c r="K1959">
        <v>1.1498987500998101</v>
      </c>
      <c r="L1959">
        <v>0</v>
      </c>
      <c r="M1959">
        <v>8.3128281689556771E-4</v>
      </c>
      <c r="N1959">
        <v>7.4959068603282886E-2</v>
      </c>
      <c r="O1959">
        <v>1.0404259583081339E-2</v>
      </c>
      <c r="P1959">
        <v>1.3454842600937853E-2</v>
      </c>
      <c r="Q1959">
        <v>4.48734664174346E-4</v>
      </c>
      <c r="R1959">
        <v>8.2947444885683708E-4</v>
      </c>
      <c r="S1959">
        <v>7.5581047336258853E-2</v>
      </c>
      <c r="T1959">
        <v>0.82486771058360475</v>
      </c>
      <c r="U1959">
        <v>0</v>
      </c>
      <c r="V1959">
        <v>9.144281877380489E-2</v>
      </c>
      <c r="W1959">
        <v>4.9440891866336441E-2</v>
      </c>
      <c r="X1959">
        <v>7.0436284427565525E-3</v>
      </c>
      <c r="Y1959">
        <v>2.2575560136097327E-3</v>
      </c>
    </row>
    <row r="1960" spans="1:25" x14ac:dyDescent="0.25">
      <c r="A1960" s="1096"/>
      <c r="B1960" s="1455">
        <v>1710</v>
      </c>
      <c r="C1960" s="1100">
        <v>0.99144025365736399</v>
      </c>
      <c r="D1960" s="1100">
        <v>1.003533120683356</v>
      </c>
      <c r="E1960" s="1100">
        <v>1.0098566611517785</v>
      </c>
      <c r="F1960" s="1100">
        <v>1.0032689488711943</v>
      </c>
      <c r="G1960" s="1100">
        <v>1.0004097000183461</v>
      </c>
      <c r="H1960" s="1100">
        <v>0.99917378629771081</v>
      </c>
      <c r="I1960" s="1100">
        <v>0.95923088890189734</v>
      </c>
      <c r="K1960">
        <v>1.15009631475424</v>
      </c>
      <c r="L1960">
        <v>0</v>
      </c>
      <c r="M1960">
        <v>7.8955667073809805E-4</v>
      </c>
      <c r="N1960">
        <v>7.4851600531373894E-2</v>
      </c>
      <c r="O1960">
        <v>1.0427148945591855E-2</v>
      </c>
      <c r="P1960">
        <v>1.362872375881175E-2</v>
      </c>
      <c r="Q1960">
        <v>4.5727603106631294E-4</v>
      </c>
      <c r="R1960">
        <v>7.8780655063529609E-4</v>
      </c>
      <c r="S1960">
        <v>7.0349522004999859E-2</v>
      </c>
      <c r="T1960">
        <v>0.82968551950814773</v>
      </c>
      <c r="U1960">
        <v>0</v>
      </c>
      <c r="V1960">
        <v>9.2328694072012385E-2</v>
      </c>
      <c r="W1960">
        <v>4.8886301246742307E-2</v>
      </c>
      <c r="X1960">
        <v>7.3391290451256686E-3</v>
      </c>
      <c r="Y1960">
        <v>2.1441497304696554E-3</v>
      </c>
    </row>
    <row r="1961" spans="1:25" x14ac:dyDescent="0.25">
      <c r="A1961" s="1096"/>
      <c r="B1961" s="1455">
        <v>1711</v>
      </c>
      <c r="C1961" s="1100">
        <v>1.0292470278982737</v>
      </c>
      <c r="D1961" s="1100">
        <v>1.0070898477168806</v>
      </c>
      <c r="E1961" s="1100">
        <v>1.0012839998646308</v>
      </c>
      <c r="F1961" s="1100">
        <v>1.0088032587366933</v>
      </c>
      <c r="G1961" s="1100">
        <v>0.99434030111792215</v>
      </c>
      <c r="H1961" s="1100">
        <v>1.020601499838105</v>
      </c>
      <c r="I1961" s="1100">
        <v>0.99319666816127739</v>
      </c>
      <c r="K1961">
        <v>1.1510261471238137</v>
      </c>
      <c r="L1961">
        <v>0</v>
      </c>
      <c r="M1961">
        <v>7.8969650346365564E-4</v>
      </c>
      <c r="N1961">
        <v>7.2954937505986056E-2</v>
      </c>
      <c r="O1961">
        <v>1.0027209200734716E-2</v>
      </c>
      <c r="P1961">
        <v>1.36033750615254E-2</v>
      </c>
      <c r="Q1961">
        <v>4.3597551586178933E-4</v>
      </c>
      <c r="R1961">
        <v>7.8798282400598552E-4</v>
      </c>
      <c r="S1961">
        <v>7.0866826671213745E-2</v>
      </c>
      <c r="T1961">
        <v>0.83483328166837922</v>
      </c>
      <c r="U1961">
        <v>0</v>
      </c>
      <c r="V1961">
        <v>9.1149652006600121E-2</v>
      </c>
      <c r="W1961">
        <v>4.7889892457042643E-2</v>
      </c>
      <c r="X1961">
        <v>7.1220812274502641E-3</v>
      </c>
      <c r="Y1961">
        <v>2.1446294884761704E-3</v>
      </c>
    </row>
    <row r="1962" spans="1:25" x14ac:dyDescent="0.25">
      <c r="A1962" s="1096"/>
      <c r="B1962" s="1455">
        <v>1712</v>
      </c>
      <c r="C1962" s="1100">
        <v>1.0329078146076485</v>
      </c>
      <c r="D1962" s="1100">
        <v>0.98801447275593446</v>
      </c>
      <c r="E1962" s="1100">
        <v>1.0047096183758459</v>
      </c>
      <c r="F1962" s="1100">
        <v>1.0066452082473176</v>
      </c>
      <c r="G1962" s="1100">
        <v>1.0076921978710351</v>
      </c>
      <c r="H1962" s="1100">
        <v>1.0069208352296199</v>
      </c>
      <c r="I1962" s="1100">
        <v>1.0405490649091458</v>
      </c>
      <c r="K1962">
        <v>1.1520812663601379</v>
      </c>
      <c r="L1962">
        <v>0</v>
      </c>
      <c r="M1962">
        <v>7.767690785794798E-4</v>
      </c>
      <c r="N1962">
        <v>7.2504894719539942E-2</v>
      </c>
      <c r="O1962">
        <v>1.0069482849528119E-2</v>
      </c>
      <c r="P1962">
        <v>1.3662211657349755E-2</v>
      </c>
      <c r="Q1962">
        <v>4.393211850256639E-4</v>
      </c>
      <c r="R1962">
        <v>7.7506055026911548E-4</v>
      </c>
      <c r="S1962">
        <v>7.4151139208827571E-2</v>
      </c>
      <c r="T1962">
        <v>0.8328194263914811</v>
      </c>
      <c r="U1962">
        <v>0</v>
      </c>
      <c r="V1962">
        <v>9.1635596693099841E-2</v>
      </c>
      <c r="W1962">
        <v>4.7497895021077582E-2</v>
      </c>
      <c r="X1962">
        <v>7.1935478433256522E-3</v>
      </c>
      <c r="Y1962">
        <v>2.1094593191908033E-3</v>
      </c>
    </row>
    <row r="1963" spans="1:25" x14ac:dyDescent="0.25">
      <c r="A1963" s="1096"/>
      <c r="B1963" s="1455">
        <v>1713</v>
      </c>
      <c r="C1963" s="1100">
        <v>0.98485948437268167</v>
      </c>
      <c r="D1963" s="1100">
        <v>0.98639064855994063</v>
      </c>
      <c r="E1963" s="1100">
        <v>1.0072443513261455</v>
      </c>
      <c r="F1963" s="1100">
        <v>0.99017700917918028</v>
      </c>
      <c r="G1963" s="1100">
        <v>0.96642792683999357</v>
      </c>
      <c r="H1963" s="1100">
        <v>0.97094412529045948</v>
      </c>
      <c r="I1963" s="1100">
        <v>0.96678249597554566</v>
      </c>
      <c r="K1963">
        <v>1.1364495848742884</v>
      </c>
      <c r="L1963">
        <v>0</v>
      </c>
      <c r="M1963">
        <v>7.8194881615878875E-4</v>
      </c>
      <c r="N1963">
        <v>7.3543214047867872E-2</v>
      </c>
      <c r="O1963">
        <v>1.0568541128381763E-2</v>
      </c>
      <c r="P1963">
        <v>1.3445889575744972E-2</v>
      </c>
      <c r="Q1963">
        <v>4.6226700093556341E-4</v>
      </c>
      <c r="R1963">
        <v>7.8016516604453867E-4</v>
      </c>
      <c r="S1963">
        <v>7.0874693908916986E-2</v>
      </c>
      <c r="T1963">
        <v>0.81902925092096246</v>
      </c>
      <c r="U1963">
        <v>0</v>
      </c>
      <c r="V1963">
        <v>9.1042652204141719E-2</v>
      </c>
      <c r="W1963">
        <v>4.8105912113600748E-2</v>
      </c>
      <c r="X1963">
        <v>7.2555952232538062E-3</v>
      </c>
      <c r="Y1963">
        <v>2.1233524005953666E-3</v>
      </c>
    </row>
    <row r="1964" spans="1:25" x14ac:dyDescent="0.25">
      <c r="A1964" s="1096"/>
      <c r="B1964" s="1455">
        <v>1714</v>
      </c>
      <c r="C1964" s="1100">
        <v>1.0100378890200761</v>
      </c>
      <c r="D1964" s="1100">
        <v>0.9835219124259843</v>
      </c>
      <c r="E1964" s="1100">
        <v>0.99260869268321927</v>
      </c>
      <c r="F1964" s="1100">
        <v>1.0206855024971273</v>
      </c>
      <c r="G1964" s="1100">
        <v>1.0070360109315719</v>
      </c>
      <c r="H1964" s="1100">
        <v>1.007167767285666</v>
      </c>
      <c r="I1964" s="1100">
        <v>0.97873659350471531</v>
      </c>
      <c r="K1964">
        <v>1.1645471707059976</v>
      </c>
      <c r="L1964">
        <v>0</v>
      </c>
      <c r="M1964">
        <v>8.1623079965657493E-4</v>
      </c>
      <c r="N1964">
        <v>7.3452985964155573E-2</v>
      </c>
      <c r="O1964">
        <v>1.0312325092117712E-2</v>
      </c>
      <c r="P1964">
        <v>1.3678532486736703E-2</v>
      </c>
      <c r="Q1964">
        <v>4.4447266222257155E-4</v>
      </c>
      <c r="R1964">
        <v>8.1443591420318556E-4</v>
      </c>
      <c r="S1964">
        <v>7.1488422121938705E-2</v>
      </c>
      <c r="T1964">
        <v>0.84525351349650368</v>
      </c>
      <c r="U1964">
        <v>0</v>
      </c>
      <c r="V1964">
        <v>9.2149167001230159E-2</v>
      </c>
      <c r="W1964">
        <v>4.8466685105153742E-2</v>
      </c>
      <c r="X1964">
        <v>7.0862355816574598E-3</v>
      </c>
      <c r="Y1964">
        <v>2.2166260797341088E-3</v>
      </c>
    </row>
    <row r="1965" spans="1:25" x14ac:dyDescent="0.25">
      <c r="A1965" s="1096"/>
      <c r="B1965" s="1455">
        <v>1715</v>
      </c>
      <c r="C1965" s="1100">
        <v>0.96443417912815421</v>
      </c>
      <c r="D1965" s="1100">
        <v>0.96647066588639696</v>
      </c>
      <c r="E1965" s="1100">
        <v>1.0293771262636935</v>
      </c>
      <c r="F1965" s="1100">
        <v>0.97735200726216742</v>
      </c>
      <c r="G1965" s="1100">
        <v>0.99667166724469902</v>
      </c>
      <c r="H1965" s="1100">
        <v>0.97246482499875497</v>
      </c>
      <c r="I1965" s="1100">
        <v>0.99705249353797665</v>
      </c>
      <c r="K1965">
        <v>1.1375816615189398</v>
      </c>
      <c r="L1965">
        <v>0</v>
      </c>
      <c r="M1965">
        <v>7.7003298321419369E-4</v>
      </c>
      <c r="N1965">
        <v>7.7424162021093937E-2</v>
      </c>
      <c r="O1965">
        <v>1.0888435659593071E-2</v>
      </c>
      <c r="P1965">
        <v>1.3589138912557546E-2</v>
      </c>
      <c r="Q1965">
        <v>4.8686457217204585E-4</v>
      </c>
      <c r="R1965">
        <v>7.6827926018747516E-4</v>
      </c>
      <c r="S1965">
        <v>7.5523356555666166E-2</v>
      </c>
      <c r="T1965">
        <v>0.80700172073235887</v>
      </c>
      <c r="U1965">
        <v>0</v>
      </c>
      <c r="V1965">
        <v>9.2872525686201607E-2</v>
      </c>
      <c r="W1965">
        <v>4.9992077242526557E-2</v>
      </c>
      <c r="X1965">
        <v>7.714130976757513E-3</v>
      </c>
      <c r="Y1965">
        <v>2.0910028830402527E-3</v>
      </c>
    </row>
    <row r="1966" spans="1:25" x14ac:dyDescent="0.25">
      <c r="A1966" s="1096"/>
      <c r="B1966" s="1455">
        <v>1716</v>
      </c>
      <c r="C1966" s="1100">
        <v>1.0378413479613109</v>
      </c>
      <c r="D1966" s="1100">
        <v>1.0154965015387769</v>
      </c>
      <c r="E1966" s="1100">
        <v>1.0025783831555746</v>
      </c>
      <c r="F1966" s="1100">
        <v>0.99420336456490654</v>
      </c>
      <c r="G1966" s="1100">
        <v>1.0146040001304504</v>
      </c>
      <c r="H1966" s="1100">
        <v>0.98805845088181532</v>
      </c>
      <c r="I1966" s="1100">
        <v>1.0028856869799314</v>
      </c>
      <c r="K1966">
        <v>1.1324787006202175</v>
      </c>
      <c r="L1966">
        <v>0</v>
      </c>
      <c r="M1966">
        <v>7.5364150807559125E-4</v>
      </c>
      <c r="N1966">
        <v>6.9891810584711764E-2</v>
      </c>
      <c r="O1966">
        <v>9.9115693763737901E-3</v>
      </c>
      <c r="P1966">
        <v>1.3439321633636758E-2</v>
      </c>
      <c r="Q1966">
        <v>4.31508048956866E-4</v>
      </c>
      <c r="R1966">
        <v>7.519522043074753E-4</v>
      </c>
      <c r="S1966">
        <v>6.9394232800405922E-2</v>
      </c>
      <c r="T1966">
        <v>0.82266604900565277</v>
      </c>
      <c r="U1966">
        <v>0</v>
      </c>
      <c r="V1966">
        <v>9.1816739862018493E-2</v>
      </c>
      <c r="W1966">
        <v>4.5843932544528843E-2</v>
      </c>
      <c r="X1966">
        <v>7.0386600485507888E-3</v>
      </c>
      <c r="Y1966">
        <v>2.0465660191474173E-3</v>
      </c>
    </row>
    <row r="1967" spans="1:25" x14ac:dyDescent="0.25">
      <c r="A1967" s="1096"/>
      <c r="B1967" s="1455">
        <v>1717</v>
      </c>
      <c r="C1967" s="1100">
        <v>1.0148057899074796</v>
      </c>
      <c r="D1967" s="1100">
        <v>1.0053209849790194</v>
      </c>
      <c r="E1967" s="1100">
        <v>0.97964471909183626</v>
      </c>
      <c r="F1967" s="1100">
        <v>1.0343273545650193</v>
      </c>
      <c r="G1967" s="1100">
        <v>1.0197998077993944</v>
      </c>
      <c r="H1967" s="1100">
        <v>0.98215457549180696</v>
      </c>
      <c r="I1967" s="1100">
        <v>0.99185506741216878</v>
      </c>
      <c r="K1967">
        <v>1.169891689176332</v>
      </c>
      <c r="L1967">
        <v>0</v>
      </c>
      <c r="M1967">
        <v>8.0666049446816732E-4</v>
      </c>
      <c r="N1967">
        <v>6.9796805118490304E-2</v>
      </c>
      <c r="O1967">
        <v>1.0170101819476864E-2</v>
      </c>
      <c r="P1967">
        <v>1.3698416660962495E-2</v>
      </c>
      <c r="Q1967">
        <v>4.3262408696206873E-4</v>
      </c>
      <c r="R1967">
        <v>8.048414784563823E-4</v>
      </c>
      <c r="S1967">
        <v>7.0292759722180159E-2</v>
      </c>
      <c r="T1967">
        <v>0.85744441107095126</v>
      </c>
      <c r="U1967">
        <v>0</v>
      </c>
      <c r="V1967">
        <v>9.2578105653145754E-2</v>
      </c>
      <c r="W1967">
        <v>4.6414384971713421E-2</v>
      </c>
      <c r="X1967">
        <v>6.8753859000238778E-3</v>
      </c>
      <c r="Y1967">
        <v>2.1905131884362048E-3</v>
      </c>
    </row>
    <row r="1968" spans="1:25" x14ac:dyDescent="0.25">
      <c r="A1968" s="1096"/>
      <c r="B1968" s="1455">
        <v>1718</v>
      </c>
      <c r="C1968" s="1100">
        <v>1.0157651814024358</v>
      </c>
      <c r="D1968" s="1100">
        <v>0.99788115877854955</v>
      </c>
      <c r="E1968" s="1100">
        <v>1.0018364601706922</v>
      </c>
      <c r="F1968" s="1100">
        <v>0.96457681932661166</v>
      </c>
      <c r="G1968" s="1100">
        <v>0.98177676244554901</v>
      </c>
      <c r="H1968" s="1100">
        <v>1.0218057511623058</v>
      </c>
      <c r="I1968" s="1100">
        <v>1.013606168068339</v>
      </c>
      <c r="K1968">
        <v>1.1188797637690411</v>
      </c>
      <c r="L1968">
        <v>0</v>
      </c>
      <c r="M1968">
        <v>8.0314988904839942E-4</v>
      </c>
      <c r="N1968">
        <v>7.4321931902123509E-2</v>
      </c>
      <c r="O1968">
        <v>1.019787590862725E-2</v>
      </c>
      <c r="P1968">
        <v>1.3144379525904229E-2</v>
      </c>
      <c r="Q1968">
        <v>4.4364205912676041E-4</v>
      </c>
      <c r="R1968">
        <v>8.0140906916364193E-4</v>
      </c>
      <c r="S1968">
        <v>7.367805692071254E-2</v>
      </c>
      <c r="T1968">
        <v>0.79819852011597858</v>
      </c>
      <c r="U1968">
        <v>0</v>
      </c>
      <c r="V1968">
        <v>9.0932209713297449E-2</v>
      </c>
      <c r="W1968">
        <v>4.8771233089098719E-2</v>
      </c>
      <c r="X1968">
        <v>7.0124840522226917E-3</v>
      </c>
      <c r="Y1968">
        <v>2.181171301834785E-3</v>
      </c>
    </row>
    <row r="1969" spans="1:25" x14ac:dyDescent="0.25">
      <c r="A1969" s="1096"/>
      <c r="B1969" s="1455">
        <v>1719</v>
      </c>
      <c r="C1969" s="1100">
        <v>1.0103975721902885</v>
      </c>
      <c r="D1969" s="1100">
        <v>0.9803218590760151</v>
      </c>
      <c r="E1969" s="1100">
        <v>0.9804640803257928</v>
      </c>
      <c r="F1969" s="1100">
        <v>1.0023842475591267</v>
      </c>
      <c r="G1969" s="1100">
        <v>1.0168379725922601</v>
      </c>
      <c r="H1969" s="1100">
        <v>1.0292312019588727</v>
      </c>
      <c r="I1969" s="1100">
        <v>1.0184971092016961</v>
      </c>
      <c r="K1969">
        <v>1.1558231192961173</v>
      </c>
      <c r="L1969">
        <v>0</v>
      </c>
      <c r="M1969">
        <v>8.5615646253215012E-4</v>
      </c>
      <c r="N1969">
        <v>7.4271029979768588E-2</v>
      </c>
      <c r="O1969">
        <v>1.0318144191640961E-2</v>
      </c>
      <c r="P1969">
        <v>1.3418790032089607E-2</v>
      </c>
      <c r="Q1969">
        <v>4.3928730796892847E-4</v>
      </c>
      <c r="R1969">
        <v>8.5431413953465131E-4</v>
      </c>
      <c r="S1969">
        <v>7.5387822671897212E-2</v>
      </c>
      <c r="T1969">
        <v>0.83090907064441732</v>
      </c>
      <c r="U1969">
        <v>0</v>
      </c>
      <c r="V1969">
        <v>9.2558046778973127E-2</v>
      </c>
      <c r="W1969">
        <v>4.9365284628706409E-2</v>
      </c>
      <c r="X1969">
        <v>6.8323239204188969E-3</v>
      </c>
      <c r="Y1969">
        <v>2.3251614632329117E-3</v>
      </c>
    </row>
    <row r="1970" spans="1:25" x14ac:dyDescent="0.25">
      <c r="A1970" s="1096"/>
      <c r="B1970" s="1455">
        <v>1720</v>
      </c>
      <c r="C1970" s="1100">
        <v>1.0291550154386138</v>
      </c>
      <c r="D1970" s="1100">
        <v>1.0020102989907367</v>
      </c>
      <c r="E1970" s="1100">
        <v>1.0300917333046005</v>
      </c>
      <c r="F1970" s="1100">
        <v>0.98000938349107647</v>
      </c>
      <c r="G1970" s="1100">
        <v>1.0321586919747014</v>
      </c>
      <c r="H1970" s="1100">
        <v>1.0119617535486345</v>
      </c>
      <c r="I1970" s="1100">
        <v>1.0260904214967899</v>
      </c>
      <c r="K1970">
        <v>1.1311944617330494</v>
      </c>
      <c r="L1970">
        <v>0</v>
      </c>
      <c r="M1970">
        <v>7.3904561581802854E-4</v>
      </c>
      <c r="N1970">
        <v>7.4475377271480334E-2</v>
      </c>
      <c r="O1970">
        <v>1.0057585514429677E-2</v>
      </c>
      <c r="P1970">
        <v>1.3590848878291154E-2</v>
      </c>
      <c r="Q1970">
        <v>4.5003190470022829E-4</v>
      </c>
      <c r="R1970">
        <v>7.3742815889191204E-4</v>
      </c>
      <c r="S1970">
        <v>7.309404401799921E-2</v>
      </c>
      <c r="T1970">
        <v>0.80915023245496442</v>
      </c>
      <c r="U1970">
        <v>0</v>
      </c>
      <c r="V1970">
        <v>9.2772376359120251E-2</v>
      </c>
      <c r="W1970">
        <v>4.8068126220344773E-2</v>
      </c>
      <c r="X1970">
        <v>7.5304202132678117E-3</v>
      </c>
      <c r="Y1970">
        <v>2.0070363553765383E-3</v>
      </c>
    </row>
    <row r="1971" spans="1:25" x14ac:dyDescent="0.25">
      <c r="A1971" s="1096"/>
      <c r="B1971" s="1455">
        <v>1721</v>
      </c>
      <c r="C1971" s="1100">
        <v>1.0109447125919293</v>
      </c>
      <c r="D1971" s="1100">
        <v>0.99753355121218568</v>
      </c>
      <c r="E1971" s="1100">
        <v>1.0061306058312205</v>
      </c>
      <c r="F1971" s="1100">
        <v>0.98024639097245347</v>
      </c>
      <c r="G1971" s="1100">
        <v>0.97902782338313854</v>
      </c>
      <c r="H1971" s="1100">
        <v>1.0092766453850459</v>
      </c>
      <c r="I1971" s="1100">
        <v>0.98771511879516627</v>
      </c>
      <c r="K1971">
        <v>1.1293454680737398</v>
      </c>
      <c r="L1971">
        <v>0</v>
      </c>
      <c r="M1971">
        <v>7.9012193313589122E-4</v>
      </c>
      <c r="N1971">
        <v>7.4068829428800748E-2</v>
      </c>
      <c r="O1971">
        <v>1.0249322824786944E-2</v>
      </c>
      <c r="P1971">
        <v>1.3332495893794752E-2</v>
      </c>
      <c r="Q1971">
        <v>4.4780467043264072E-4</v>
      </c>
      <c r="R1971">
        <v>7.8838809132454049E-4</v>
      </c>
      <c r="S1971">
        <v>7.1657717425548342E-2</v>
      </c>
      <c r="T1971">
        <v>0.81088713875679208</v>
      </c>
      <c r="U1971">
        <v>0</v>
      </c>
      <c r="V1971">
        <v>9.0931722313058641E-2</v>
      </c>
      <c r="W1971">
        <v>4.8481639399325323E-2</v>
      </c>
      <c r="X1971">
        <v>7.1447987104890582E-3</v>
      </c>
      <c r="Y1971">
        <v>2.1457324925209412E-3</v>
      </c>
    </row>
    <row r="1972" spans="1:25" x14ac:dyDescent="0.25">
      <c r="A1972" s="1096"/>
      <c r="B1972" s="1455">
        <v>1722</v>
      </c>
      <c r="C1972" s="1100">
        <v>0.98079106124778015</v>
      </c>
      <c r="D1972" s="1100">
        <v>1.0145198436293543</v>
      </c>
      <c r="E1972" s="1100">
        <v>1.0165809887573376</v>
      </c>
      <c r="F1972" s="1100">
        <v>1.0257526112609823</v>
      </c>
      <c r="G1972" s="1100">
        <v>0.9834879901076794</v>
      </c>
      <c r="H1972" s="1100">
        <v>1.0213368262549543</v>
      </c>
      <c r="I1972" s="1100">
        <v>0.98630744268129855</v>
      </c>
      <c r="K1972">
        <v>1.17595478715496</v>
      </c>
      <c r="L1972">
        <v>0</v>
      </c>
      <c r="M1972">
        <v>8.0101340553859646E-4</v>
      </c>
      <c r="N1972">
        <v>7.749843228836667E-2</v>
      </c>
      <c r="O1972">
        <v>1.0496792158713285E-2</v>
      </c>
      <c r="P1972">
        <v>1.3985854115138516E-2</v>
      </c>
      <c r="Q1972">
        <v>4.6342938167415871E-4</v>
      </c>
      <c r="R1972">
        <v>7.9927641932790391E-4</v>
      </c>
      <c r="S1972">
        <v>7.3622955144624747E-2</v>
      </c>
      <c r="T1972">
        <v>0.84782541425623303</v>
      </c>
      <c r="U1972">
        <v>0</v>
      </c>
      <c r="V1972">
        <v>9.1877994489200532E-2</v>
      </c>
      <c r="W1972">
        <v>5.0415178564370555E-2</v>
      </c>
      <c r="X1972">
        <v>7.5951068108379522E-3</v>
      </c>
      <c r="Y1972">
        <v>2.1753669320097348E-3</v>
      </c>
    </row>
    <row r="1973" spans="1:25" x14ac:dyDescent="0.25">
      <c r="A1973" s="1096"/>
      <c r="B1973" s="1455">
        <v>1723</v>
      </c>
      <c r="C1973" s="1100">
        <v>1.0070076705681839</v>
      </c>
      <c r="D1973" s="1100">
        <v>1.021292169071665</v>
      </c>
      <c r="E1973" s="1100">
        <v>0.96366852001245296</v>
      </c>
      <c r="F1973" s="1100">
        <v>1.0400146572305657</v>
      </c>
      <c r="G1973" s="1100">
        <v>1.0109470745225042</v>
      </c>
      <c r="H1973" s="1100">
        <v>1.0116295094242391</v>
      </c>
      <c r="I1973" s="1100">
        <v>1.0080522442995417</v>
      </c>
      <c r="K1973">
        <v>1.1799716007957375</v>
      </c>
      <c r="L1973">
        <v>0</v>
      </c>
      <c r="M1973">
        <v>8.5994824296585124E-4</v>
      </c>
      <c r="N1973">
        <v>7.0898917974913059E-2</v>
      </c>
      <c r="O1973">
        <v>1.0179319441421688E-2</v>
      </c>
      <c r="P1973">
        <v>1.3636918786054567E-2</v>
      </c>
      <c r="Q1973">
        <v>4.2600932148510951E-4</v>
      </c>
      <c r="R1973">
        <v>8.5806556342965751E-4</v>
      </c>
      <c r="S1973">
        <v>7.25841381457734E-2</v>
      </c>
      <c r="T1973">
        <v>0.86327437327998724</v>
      </c>
      <c r="U1973">
        <v>0</v>
      </c>
      <c r="V1973">
        <v>9.2386695048074827E-2</v>
      </c>
      <c r="W1973">
        <v>4.7607357176257727E-2</v>
      </c>
      <c r="X1973">
        <v>6.6443826988874157E-3</v>
      </c>
      <c r="Y1973">
        <v>2.3353716024185627E-3</v>
      </c>
    </row>
    <row r="1974" spans="1:25" x14ac:dyDescent="0.25">
      <c r="A1974" s="1096"/>
      <c r="B1974" s="1455">
        <v>1724</v>
      </c>
      <c r="C1974" s="1100">
        <v>0.96410591587767547</v>
      </c>
      <c r="D1974" s="1100">
        <v>0.98012138246744596</v>
      </c>
      <c r="E1974" s="1100">
        <v>0.99782116689508771</v>
      </c>
      <c r="F1974" s="1100">
        <v>0.98638766712991965</v>
      </c>
      <c r="G1974" s="1100">
        <v>1.0130861042504429</v>
      </c>
      <c r="H1974" s="1100">
        <v>1.0055142105571173</v>
      </c>
      <c r="I1974" s="1100">
        <v>0.99608072960389804</v>
      </c>
      <c r="K1974">
        <v>1.1487512842499372</v>
      </c>
      <c r="L1974">
        <v>0</v>
      </c>
      <c r="M1974">
        <v>8.4571055554979861E-4</v>
      </c>
      <c r="N1974">
        <v>7.7314033524255144E-2</v>
      </c>
      <c r="O1974">
        <v>1.082038547548498E-2</v>
      </c>
      <c r="P1974">
        <v>1.3425873743280213E-2</v>
      </c>
      <c r="Q1974">
        <v>4.6882709628233253E-4</v>
      </c>
      <c r="R1974">
        <v>8.4384778605858313E-4</v>
      </c>
      <c r="S1974">
        <v>7.6293473930605524E-2</v>
      </c>
      <c r="T1974">
        <v>0.81650948484128261</v>
      </c>
      <c r="U1974">
        <v>0</v>
      </c>
      <c r="V1974">
        <v>9.357748316278304E-2</v>
      </c>
      <c r="W1974">
        <v>5.085593564394951E-2</v>
      </c>
      <c r="X1974">
        <v>7.1909741022019111E-3</v>
      </c>
      <c r="Y1974">
        <v>2.2966754993035505E-3</v>
      </c>
    </row>
    <row r="1975" spans="1:25" x14ac:dyDescent="0.25">
      <c r="A1975" s="1096"/>
      <c r="B1975" s="1455">
        <v>1725</v>
      </c>
      <c r="C1975" s="1100">
        <v>1.0038776738333874</v>
      </c>
      <c r="D1975" s="1100">
        <v>1.0236901893119441</v>
      </c>
      <c r="E1975" s="1100">
        <v>0.98750480715272249</v>
      </c>
      <c r="F1975" s="1100">
        <v>0.99263505338389568</v>
      </c>
      <c r="G1975" s="1100">
        <v>0.99265383353758696</v>
      </c>
      <c r="H1975" s="1100">
        <v>0.99865039405370903</v>
      </c>
      <c r="I1975" s="1100">
        <v>1.0113358650711948</v>
      </c>
      <c r="K1975">
        <v>1.1388010376510163</v>
      </c>
      <c r="L1975">
        <v>0</v>
      </c>
      <c r="M1975">
        <v>8.0987585467541296E-4</v>
      </c>
      <c r="N1975">
        <v>7.1763742052761079E-2</v>
      </c>
      <c r="O1975">
        <v>1.0209151602664763E-2</v>
      </c>
      <c r="P1975">
        <v>1.3323762701503754E-2</v>
      </c>
      <c r="Q1975">
        <v>4.3776166677179365E-4</v>
      </c>
      <c r="R1975">
        <v>8.0807975451584603E-4</v>
      </c>
      <c r="S1975">
        <v>7.2461012744272343E-2</v>
      </c>
      <c r="T1975">
        <v>0.82236132508585169</v>
      </c>
      <c r="U1975">
        <v>0</v>
      </c>
      <c r="V1975">
        <v>9.1684023781563054E-2</v>
      </c>
      <c r="W1975">
        <v>4.7497062569024397E-2</v>
      </c>
      <c r="X1975">
        <v>6.86566483839078E-3</v>
      </c>
      <c r="Y1975">
        <v>2.1993267083726484E-3</v>
      </c>
    </row>
    <row r="1976" spans="1:25" x14ac:dyDescent="0.25">
      <c r="A1976" s="1096"/>
      <c r="B1976" s="1455">
        <v>1726</v>
      </c>
      <c r="C1976" s="1100">
        <v>1.0145562009579485</v>
      </c>
      <c r="D1976" s="1100">
        <v>1.0220019147839356</v>
      </c>
      <c r="E1976" s="1100">
        <v>1.0206168493508514</v>
      </c>
      <c r="F1976" s="1100">
        <v>1.0022769291645242</v>
      </c>
      <c r="G1976" s="1100">
        <v>0.99062832307660231</v>
      </c>
      <c r="H1976" s="1100">
        <v>0.99431397080263317</v>
      </c>
      <c r="I1976" s="1100">
        <v>0.99338836625093185</v>
      </c>
      <c r="K1976">
        <v>1.1439462427156091</v>
      </c>
      <c r="L1976">
        <v>0</v>
      </c>
      <c r="M1976">
        <v>7.4537040349292427E-4</v>
      </c>
      <c r="N1976">
        <v>7.2994114303298885E-2</v>
      </c>
      <c r="O1976">
        <v>1.0118964651379247E-2</v>
      </c>
      <c r="P1976">
        <v>1.370240658804143E-2</v>
      </c>
      <c r="Q1976">
        <v>4.4854588678989847E-4</v>
      </c>
      <c r="R1976">
        <v>7.4371015084919031E-4</v>
      </c>
      <c r="S1976">
        <v>7.0351958523809571E-2</v>
      </c>
      <c r="T1976">
        <v>0.82815646373177465</v>
      </c>
      <c r="U1976">
        <v>0</v>
      </c>
      <c r="V1976">
        <v>9.1342683191657448E-2</v>
      </c>
      <c r="W1976">
        <v>4.7372865129740364E-2</v>
      </c>
      <c r="X1976">
        <v>7.435767095134777E-3</v>
      </c>
      <c r="Y1976">
        <v>2.0241338666261571E-3</v>
      </c>
    </row>
    <row r="1977" spans="1:25" x14ac:dyDescent="0.25">
      <c r="A1977" s="1096"/>
      <c r="B1977" s="1455">
        <v>1727</v>
      </c>
      <c r="C1977" s="1100">
        <v>0.9878882791209157</v>
      </c>
      <c r="D1977" s="1100">
        <v>1.0071999040016659</v>
      </c>
      <c r="E1977" s="1100">
        <v>1.0094633194092257</v>
      </c>
      <c r="F1977" s="1100">
        <v>0.96347863373140186</v>
      </c>
      <c r="G1977" s="1100">
        <v>0.97682594493812136</v>
      </c>
      <c r="H1977" s="1100">
        <v>1.0092419309676295</v>
      </c>
      <c r="I1977" s="1100">
        <v>1.0157050750356187</v>
      </c>
      <c r="K1977">
        <v>1.12198149206919</v>
      </c>
      <c r="L1977">
        <v>0</v>
      </c>
      <c r="M1977">
        <v>7.9986660316741672E-4</v>
      </c>
      <c r="N1977">
        <v>7.5740686304494181E-2</v>
      </c>
      <c r="O1977">
        <v>1.0449254270022008E-2</v>
      </c>
      <c r="P1977">
        <v>1.3225222293306685E-2</v>
      </c>
      <c r="Q1977">
        <v>4.5806526576624973E-4</v>
      </c>
      <c r="R1977">
        <v>7.9811131730017811E-4</v>
      </c>
      <c r="S1977">
        <v>7.503885958208098E-2</v>
      </c>
      <c r="T1977">
        <v>0.79680461029296201</v>
      </c>
      <c r="U1977">
        <v>0</v>
      </c>
      <c r="V1977">
        <v>9.1410382977843291E-2</v>
      </c>
      <c r="W1977">
        <v>4.9478449712829935E-2</v>
      </c>
      <c r="X1977">
        <v>7.2055207473855302E-3</v>
      </c>
      <c r="Y1977">
        <v>2.1721959083660456E-3</v>
      </c>
    </row>
    <row r="1978" spans="1:25" x14ac:dyDescent="0.25">
      <c r="A1978" s="1096"/>
      <c r="B1978" s="1455">
        <v>1728</v>
      </c>
      <c r="C1978" s="1100">
        <v>1.0325137426313318</v>
      </c>
      <c r="D1978" s="1100">
        <v>0.98428245514245194</v>
      </c>
      <c r="E1978" s="1100">
        <v>0.96828233318402224</v>
      </c>
      <c r="F1978" s="1100">
        <v>1.0142490691828534</v>
      </c>
      <c r="G1978" s="1100">
        <v>1.0161242499414704</v>
      </c>
      <c r="H1978" s="1100">
        <v>1.0081301900712649</v>
      </c>
      <c r="I1978" s="1100">
        <v>0.96878653669787262</v>
      </c>
      <c r="K1978">
        <v>1.1527710474586377</v>
      </c>
      <c r="L1978">
        <v>0</v>
      </c>
      <c r="M1978">
        <v>8.4019968738093789E-4</v>
      </c>
      <c r="N1978">
        <v>7.024500375976489E-2</v>
      </c>
      <c r="O1978">
        <v>1.0076990963093077E-2</v>
      </c>
      <c r="P1978">
        <v>1.3346503206627941E-2</v>
      </c>
      <c r="Q1978">
        <v>4.237247422900712E-4</v>
      </c>
      <c r="R1978">
        <v>8.3835385834707074E-4</v>
      </c>
      <c r="S1978">
        <v>6.920373946866118E-2</v>
      </c>
      <c r="T1978">
        <v>0.84157243540454296</v>
      </c>
      <c r="U1978">
        <v>0</v>
      </c>
      <c r="V1978">
        <v>9.2001022140922956E-2</v>
      </c>
      <c r="W1978">
        <v>4.7035574001040061E-2</v>
      </c>
      <c r="X1978">
        <v>6.5861767615828888E-3</v>
      </c>
      <c r="Y1978">
        <v>2.2817228391455962E-3</v>
      </c>
    </row>
    <row r="1979" spans="1:25" x14ac:dyDescent="0.25">
      <c r="A1979" s="1096"/>
      <c r="B1979" s="1455">
        <v>1729</v>
      </c>
      <c r="C1979" s="1100">
        <v>0.96500794097814901</v>
      </c>
      <c r="D1979" s="1100">
        <v>1.0136003657750519</v>
      </c>
      <c r="E1979" s="1100">
        <v>0.99997731013553004</v>
      </c>
      <c r="F1979" s="1100">
        <v>1.0188610616078937</v>
      </c>
      <c r="G1979" s="1100">
        <v>0.99668115062195339</v>
      </c>
      <c r="H1979" s="1100">
        <v>0.97772130507011912</v>
      </c>
      <c r="I1979" s="1100">
        <v>0.97217899586285517</v>
      </c>
      <c r="K1979">
        <v>1.1654639639322721</v>
      </c>
      <c r="L1979">
        <v>0</v>
      </c>
      <c r="M1979">
        <v>8.069853847277067E-4</v>
      </c>
      <c r="N1979">
        <v>7.4251339845368011E-2</v>
      </c>
      <c r="O1979">
        <v>1.0666733520414773E-2</v>
      </c>
      <c r="P1979">
        <v>1.3743354145991296E-2</v>
      </c>
      <c r="Q1979">
        <v>4.6317300723767838E-4</v>
      </c>
      <c r="R1979">
        <v>8.051573848245246E-4</v>
      </c>
      <c r="S1979">
        <v>7.1991683797830872E-2</v>
      </c>
      <c r="T1979">
        <v>0.84324471146776425</v>
      </c>
      <c r="U1979">
        <v>0</v>
      </c>
      <c r="V1979">
        <v>9.2852423963306327E-2</v>
      </c>
      <c r="W1979">
        <v>4.8778740550759134E-2</v>
      </c>
      <c r="X1979">
        <v>7.2822586520698944E-3</v>
      </c>
      <c r="Y1979">
        <v>2.1913729814317822E-3</v>
      </c>
    </row>
    <row r="1980" spans="1:25" x14ac:dyDescent="0.25">
      <c r="A1980" s="1096"/>
      <c r="B1980" s="1455">
        <v>1730</v>
      </c>
      <c r="C1980" s="1100">
        <v>0.99334975214218835</v>
      </c>
      <c r="D1980" s="1100">
        <v>1.0048819973238687</v>
      </c>
      <c r="E1980" s="1100">
        <v>1.0120196770431737</v>
      </c>
      <c r="F1980" s="1100">
        <v>0.98574607542597503</v>
      </c>
      <c r="G1980" s="1100">
        <v>0.9916528167908113</v>
      </c>
      <c r="H1980" s="1100">
        <v>1.0094929073704597</v>
      </c>
      <c r="I1980" s="1100">
        <v>1.0302285049050417</v>
      </c>
      <c r="K1980">
        <v>1.1415200595300745</v>
      </c>
      <c r="L1980">
        <v>0</v>
      </c>
      <c r="M1980">
        <v>7.9218151927387594E-4</v>
      </c>
      <c r="N1980">
        <v>7.5594145360648624E-2</v>
      </c>
      <c r="O1980">
        <v>1.0402227401525504E-2</v>
      </c>
      <c r="P1980">
        <v>1.3518503437998302E-2</v>
      </c>
      <c r="Q1980">
        <v>4.5717004294868043E-4</v>
      </c>
      <c r="R1980">
        <v>7.9044353031754969E-4</v>
      </c>
      <c r="S1980">
        <v>7.5796511578609435E-2</v>
      </c>
      <c r="T1980">
        <v>0.81505401069395911</v>
      </c>
      <c r="U1980">
        <v>0</v>
      </c>
      <c r="V1980">
        <v>9.1906664846948594E-2</v>
      </c>
      <c r="W1980">
        <v>4.9308379024766834E-2</v>
      </c>
      <c r="X1980">
        <v>7.3328584117404077E-3</v>
      </c>
      <c r="Y1980">
        <v>2.1513267198846309E-3</v>
      </c>
    </row>
    <row r="1981" spans="1:25" x14ac:dyDescent="0.25">
      <c r="A1981" s="1096"/>
      <c r="B1981" s="1455">
        <v>1731</v>
      </c>
      <c r="C1981" s="1100">
        <v>1.002213268068288</v>
      </c>
      <c r="D1981" s="1100">
        <v>0.98156858554161808</v>
      </c>
      <c r="E1981" s="1100">
        <v>1.0370247353809285</v>
      </c>
      <c r="F1981" s="1100">
        <v>1.0026713272218464</v>
      </c>
      <c r="G1981" s="1100">
        <v>0.95543632134580747</v>
      </c>
      <c r="H1981" s="1100">
        <v>0.99261890272556663</v>
      </c>
      <c r="I1981" s="1100">
        <v>1.0184268763423332</v>
      </c>
      <c r="K1981">
        <v>1.1517118621091065</v>
      </c>
      <c r="L1981">
        <v>0</v>
      </c>
      <c r="M1981">
        <v>7.3979851072160483E-4</v>
      </c>
      <c r="N1981">
        <v>7.6122100330215617E-2</v>
      </c>
      <c r="O1981">
        <v>1.041575115448685E-2</v>
      </c>
      <c r="P1981">
        <v>1.3897818446497475E-2</v>
      </c>
      <c r="Q1981">
        <v>4.6925756944272702E-4</v>
      </c>
      <c r="R1981">
        <v>7.3814785504694262E-4</v>
      </c>
      <c r="S1981">
        <v>7.4492325608024032E-2</v>
      </c>
      <c r="T1981">
        <v>0.82740853027177075</v>
      </c>
      <c r="U1981">
        <v>0</v>
      </c>
      <c r="V1981">
        <v>9.0142781686005535E-2</v>
      </c>
      <c r="W1981">
        <v>4.8934180607098768E-2</v>
      </c>
      <c r="X1981">
        <v>7.8217719601770611E-3</v>
      </c>
      <c r="Y1981">
        <v>2.0089951310627583E-3</v>
      </c>
    </row>
    <row r="1982" spans="1:25" x14ac:dyDescent="0.25">
      <c r="A1982" s="1096"/>
      <c r="B1982" s="1455">
        <v>1732</v>
      </c>
      <c r="C1982" s="1100">
        <v>0.95507782490933357</v>
      </c>
      <c r="D1982" s="1100">
        <v>1.0273392363127103</v>
      </c>
      <c r="E1982" s="1100">
        <v>1.0022354213870921</v>
      </c>
      <c r="F1982" s="1100">
        <v>0.98604335135872168</v>
      </c>
      <c r="G1982" s="1100">
        <v>1.0019627305981234</v>
      </c>
      <c r="H1982" s="1100">
        <v>1.0277574979624586</v>
      </c>
      <c r="I1982" s="1100">
        <v>0.97075197814501268</v>
      </c>
      <c r="K1982">
        <v>1.1478229308622014</v>
      </c>
      <c r="L1982">
        <v>0</v>
      </c>
      <c r="M1982">
        <v>8.4851579783846835E-4</v>
      </c>
      <c r="N1982">
        <v>7.8615680768983093E-2</v>
      </c>
      <c r="O1982">
        <v>1.0720517332696165E-2</v>
      </c>
      <c r="P1982">
        <v>1.3430348215859866E-2</v>
      </c>
      <c r="Q1982">
        <v>4.6656558455419899E-4</v>
      </c>
      <c r="R1982">
        <v>8.4668729829367854E-4</v>
      </c>
      <c r="S1982">
        <v>7.4181862337429363E-2</v>
      </c>
      <c r="T1982">
        <v>0.81593630612711854</v>
      </c>
      <c r="U1982">
        <v>0</v>
      </c>
      <c r="V1982">
        <v>9.3345623053002882E-2</v>
      </c>
      <c r="W1982">
        <v>5.1576647648188548E-2</v>
      </c>
      <c r="X1982">
        <v>7.2468045783522141E-3</v>
      </c>
      <c r="Y1982">
        <v>2.3044037155625224E-3</v>
      </c>
    </row>
    <row r="1983" spans="1:25" x14ac:dyDescent="0.25">
      <c r="A1983" s="1096"/>
      <c r="B1983" s="1455">
        <v>1733</v>
      </c>
      <c r="C1983" s="1100">
        <v>1.0109393560443676</v>
      </c>
      <c r="D1983" s="1100">
        <v>0.99355938449151404</v>
      </c>
      <c r="E1983" s="1100">
        <v>1.0315716403296047</v>
      </c>
      <c r="F1983" s="1100">
        <v>1.0059162179481165</v>
      </c>
      <c r="G1983" s="1100">
        <v>1.0188654735751639</v>
      </c>
      <c r="H1983" s="1100">
        <v>0.9730062502745368</v>
      </c>
      <c r="I1983" s="1100">
        <v>0.96964456406233734</v>
      </c>
      <c r="K1983">
        <v>1.1468611274166109</v>
      </c>
      <c r="L1983">
        <v>0</v>
      </c>
      <c r="M1983">
        <v>7.2361967409779071E-4</v>
      </c>
      <c r="N1983">
        <v>7.3240464250608525E-2</v>
      </c>
      <c r="O1983">
        <v>1.0274037995956626E-2</v>
      </c>
      <c r="P1983">
        <v>1.3844902514809633E-2</v>
      </c>
      <c r="Q1983">
        <v>4.6039001587055441E-4</v>
      </c>
      <c r="R1983">
        <v>7.2197257278254295E-4</v>
      </c>
      <c r="S1983">
        <v>6.9100542927663502E-2</v>
      </c>
      <c r="T1983">
        <v>0.83044328636111098</v>
      </c>
      <c r="U1983">
        <v>0</v>
      </c>
      <c r="V1983">
        <v>9.2638648112649657E-2</v>
      </c>
      <c r="W1983">
        <v>4.7230520550152089E-2</v>
      </c>
      <c r="X1983">
        <v>7.6650104441843116E-3</v>
      </c>
      <c r="Y1983">
        <v>1.9649713449194275E-3</v>
      </c>
    </row>
    <row r="1984" spans="1:25" x14ac:dyDescent="0.25">
      <c r="A1984" s="1096"/>
      <c r="B1984" s="1455">
        <v>1734</v>
      </c>
      <c r="C1984" s="1100">
        <v>0.97752007345716052</v>
      </c>
      <c r="D1984" s="1100">
        <v>0.99650510411413529</v>
      </c>
      <c r="E1984" s="1100">
        <v>0.99098510153598329</v>
      </c>
      <c r="F1984" s="1100">
        <v>0.99373139594429338</v>
      </c>
      <c r="G1984" s="1100">
        <v>1.0335650600349706</v>
      </c>
      <c r="H1984" s="1100">
        <v>1.0225760974050964</v>
      </c>
      <c r="I1984" s="1100">
        <v>1.0006011154254675</v>
      </c>
      <c r="K1984">
        <v>1.1537509053228996</v>
      </c>
      <c r="L1984">
        <v>0</v>
      </c>
      <c r="M1984">
        <v>8.5467566644660542E-4</v>
      </c>
      <c r="N1984">
        <v>7.6538622904979189E-2</v>
      </c>
      <c r="O1984">
        <v>1.0599078417015051E-2</v>
      </c>
      <c r="P1984">
        <v>1.3443927338804038E-2</v>
      </c>
      <c r="Q1984">
        <v>4.5608371619702712E-4</v>
      </c>
      <c r="R1984">
        <v>8.5282456048174453E-4</v>
      </c>
      <c r="S1984">
        <v>7.5650688849021236E-2</v>
      </c>
      <c r="T1984">
        <v>0.82303943225833565</v>
      </c>
      <c r="U1984">
        <v>0</v>
      </c>
      <c r="V1984">
        <v>9.4099413943510138E-2</v>
      </c>
      <c r="W1984">
        <v>5.0551763882019173E-2</v>
      </c>
      <c r="X1984">
        <v>7.0526377988927615E-3</v>
      </c>
      <c r="Y1984">
        <v>2.3211073200905025E-3</v>
      </c>
    </row>
    <row r="1985" spans="1:25" x14ac:dyDescent="0.25">
      <c r="A1985" s="1096"/>
      <c r="B1985" s="1455">
        <v>1735</v>
      </c>
      <c r="C1985" s="1100">
        <v>1.007166722049726</v>
      </c>
      <c r="D1985" s="1100">
        <v>1.0121848793828234</v>
      </c>
      <c r="E1985" s="1100">
        <v>0.98250959267689808</v>
      </c>
      <c r="F1985" s="1100">
        <v>0.99517815222761752</v>
      </c>
      <c r="G1985" s="1100">
        <v>1.0333503114084379</v>
      </c>
      <c r="H1985" s="1100">
        <v>0.9814681571230085</v>
      </c>
      <c r="I1985" s="1100">
        <v>1.0462587158678802</v>
      </c>
      <c r="K1985">
        <v>1.142501048216344</v>
      </c>
      <c r="L1985">
        <v>0</v>
      </c>
      <c r="M1985">
        <v>8.0521806481932765E-4</v>
      </c>
      <c r="N1985">
        <v>7.0278389867951485E-2</v>
      </c>
      <c r="O1985">
        <v>1.0220310332353493E-2</v>
      </c>
      <c r="P1985">
        <v>1.3355058576015738E-2</v>
      </c>
      <c r="Q1985">
        <v>4.3602693839356544E-4</v>
      </c>
      <c r="R1985">
        <v>8.034010315732885E-4</v>
      </c>
      <c r="S1985">
        <v>7.4424345888785409E-2</v>
      </c>
      <c r="T1985">
        <v>0.82479971319420664</v>
      </c>
      <c r="U1985">
        <v>0</v>
      </c>
      <c r="V1985">
        <v>9.3343095204464391E-2</v>
      </c>
      <c r="W1985">
        <v>4.6653928980784652E-2</v>
      </c>
      <c r="X1985">
        <v>6.8054034997712667E-3</v>
      </c>
      <c r="Y1985">
        <v>2.186592766863611E-3</v>
      </c>
    </row>
    <row r="1986" spans="1:25" x14ac:dyDescent="0.25">
      <c r="A1986" s="1096"/>
      <c r="B1986" s="1455">
        <v>1736</v>
      </c>
      <c r="C1986" s="1100">
        <v>1.0376710273076564</v>
      </c>
      <c r="D1986" s="1100">
        <v>0.97016990360471322</v>
      </c>
      <c r="E1986" s="1100">
        <v>1.0210947194676405</v>
      </c>
      <c r="F1986" s="1100">
        <v>0.99686609147806715</v>
      </c>
      <c r="G1986" s="1100">
        <v>0.9810724055850486</v>
      </c>
      <c r="H1986" s="1100">
        <v>0.98574849203986958</v>
      </c>
      <c r="I1986" s="1100">
        <v>0.98942530373407833</v>
      </c>
      <c r="K1986">
        <v>1.1368220314046711</v>
      </c>
      <c r="L1986">
        <v>0</v>
      </c>
      <c r="M1986">
        <v>7.3695477693804337E-4</v>
      </c>
      <c r="N1986">
        <v>7.2272681078682663E-2</v>
      </c>
      <c r="O1986">
        <v>1.0101843638133306E-2</v>
      </c>
      <c r="P1986">
        <v>1.3627228377091365E-2</v>
      </c>
      <c r="Q1986">
        <v>4.479996405677298E-4</v>
      </c>
      <c r="R1986">
        <v>7.3529900585062795E-4</v>
      </c>
      <c r="S1986">
        <v>7.0031376098837347E-2</v>
      </c>
      <c r="T1986">
        <v>0.82365440714203164</v>
      </c>
      <c r="U1986">
        <v>0</v>
      </c>
      <c r="V1986">
        <v>9.0390024302122812E-2</v>
      </c>
      <c r="W1986">
        <v>4.6891555156317079E-2</v>
      </c>
      <c r="X1986">
        <v>7.4053302393013408E-3</v>
      </c>
      <c r="Y1986">
        <v>2.0012415026732749E-3</v>
      </c>
    </row>
    <row r="1987" spans="1:25" x14ac:dyDescent="0.25">
      <c r="A1987" s="1096"/>
      <c r="B1987" s="1455">
        <v>1737</v>
      </c>
      <c r="C1987" s="1100">
        <v>0.96580393224470695</v>
      </c>
      <c r="D1987" s="1100">
        <v>0.97776425157305258</v>
      </c>
      <c r="E1987" s="1100">
        <v>0.99637185849751619</v>
      </c>
      <c r="F1987" s="1100">
        <v>0.97408383922972641</v>
      </c>
      <c r="G1987" s="1100">
        <v>0.98969039665131964</v>
      </c>
      <c r="H1987" s="1100">
        <v>1.031569472347363</v>
      </c>
      <c r="I1987" s="1100">
        <v>1.0033576740333892</v>
      </c>
      <c r="K1987">
        <v>1.1421788403143949</v>
      </c>
      <c r="L1987">
        <v>0</v>
      </c>
      <c r="M1987">
        <v>8.6954310613351579E-4</v>
      </c>
      <c r="N1987">
        <v>7.9149809001274871E-2</v>
      </c>
      <c r="O1987">
        <v>1.0811274548072959E-2</v>
      </c>
      <c r="P1987">
        <v>1.3282041432965869E-2</v>
      </c>
      <c r="Q1987">
        <v>4.6774931817897963E-4</v>
      </c>
      <c r="R1987">
        <v>8.6767621835438249E-4</v>
      </c>
      <c r="S1987">
        <v>7.791997809389449E-2</v>
      </c>
      <c r="T1987">
        <v>0.80641825051502014</v>
      </c>
      <c r="U1987">
        <v>0</v>
      </c>
      <c r="V1987">
        <v>9.2531772080176114E-2</v>
      </c>
      <c r="W1987">
        <v>5.2108448711947732E-2</v>
      </c>
      <c r="X1987">
        <v>7.1298548636704066E-3</v>
      </c>
      <c r="Y1987">
        <v>2.3615286369721203E-3</v>
      </c>
    </row>
    <row r="1988" spans="1:25" x14ac:dyDescent="0.25">
      <c r="A1988" s="1096"/>
      <c r="B1988" s="1455">
        <v>1738</v>
      </c>
      <c r="C1988" s="1100">
        <v>1.0064638741861793</v>
      </c>
      <c r="D1988" s="1100">
        <v>1.0238816648594584</v>
      </c>
      <c r="E1988" s="1100">
        <v>1.0112639475243823</v>
      </c>
      <c r="F1988" s="1100">
        <v>1.0274904007014976</v>
      </c>
      <c r="G1988" s="1100">
        <v>0.9738702983572135</v>
      </c>
      <c r="H1988" s="1100">
        <v>1.0119606813233846</v>
      </c>
      <c r="I1988" s="1100">
        <v>1.0074505753763525</v>
      </c>
      <c r="K1988">
        <v>1.1696752770988346</v>
      </c>
      <c r="L1988">
        <v>0</v>
      </c>
      <c r="M1988">
        <v>7.7914307916430688E-4</v>
      </c>
      <c r="N1988">
        <v>7.4180927215412112E-2</v>
      </c>
      <c r="O1988">
        <v>1.0189809518513372E-2</v>
      </c>
      <c r="P1988">
        <v>1.3926553327964789E-2</v>
      </c>
      <c r="Q1988">
        <v>4.4749655177282407E-4</v>
      </c>
      <c r="R1988">
        <v>7.7743786411649805E-4</v>
      </c>
      <c r="S1988">
        <v>7.255488167135625E-2</v>
      </c>
      <c r="T1988">
        <v>0.84962099241162536</v>
      </c>
      <c r="U1988">
        <v>0</v>
      </c>
      <c r="V1988">
        <v>9.082126772785637E-2</v>
      </c>
      <c r="W1988">
        <v>4.8408107975790496E-2</v>
      </c>
      <c r="X1988">
        <v>7.4110163297887105E-3</v>
      </c>
      <c r="Y1988">
        <v>2.1159295838020795E-3</v>
      </c>
    </row>
    <row r="1989" spans="1:25" x14ac:dyDescent="0.25">
      <c r="A1989" s="1096"/>
      <c r="B1989" s="1455">
        <v>1739</v>
      </c>
      <c r="C1989" s="1100">
        <v>0.98520704787827929</v>
      </c>
      <c r="D1989" s="1100">
        <v>1.0066178200802101</v>
      </c>
      <c r="E1989" s="1100">
        <v>1.0091554265862399</v>
      </c>
      <c r="F1989" s="1100">
        <v>1.017584473401659</v>
      </c>
      <c r="G1989" s="1100">
        <v>0.97737386008895821</v>
      </c>
      <c r="H1989" s="1100">
        <v>1.0137316219359629</v>
      </c>
      <c r="I1989" s="1100">
        <v>0.99302383995803523</v>
      </c>
      <c r="K1989">
        <v>1.1673280470740164</v>
      </c>
      <c r="L1989">
        <v>0</v>
      </c>
      <c r="M1989">
        <v>8.0631323048943973E-4</v>
      </c>
      <c r="N1989">
        <v>7.6280929950484605E-2</v>
      </c>
      <c r="O1989">
        <v>1.0480012747854815E-2</v>
      </c>
      <c r="P1989">
        <v>1.382038376288503E-2</v>
      </c>
      <c r="Q1989">
        <v>4.5927219779797965E-4</v>
      </c>
      <c r="R1989">
        <v>8.045516342683178E-4</v>
      </c>
      <c r="S1989">
        <v>7.37679418331319E-2</v>
      </c>
      <c r="T1989">
        <v>0.84157122452727362</v>
      </c>
      <c r="U1989">
        <v>0</v>
      </c>
      <c r="V1989">
        <v>9.1502033958370088E-2</v>
      </c>
      <c r="W1989">
        <v>4.9840422894769761E-2</v>
      </c>
      <c r="X1989">
        <v>7.4178624695666519E-3</v>
      </c>
      <c r="Y1989">
        <v>2.1897243281034048E-3</v>
      </c>
    </row>
    <row r="1990" spans="1:25" x14ac:dyDescent="0.25">
      <c r="A1990" s="1096"/>
      <c r="B1990" s="1455">
        <v>1740</v>
      </c>
      <c r="C1990" s="1100">
        <v>0.96392342245176443</v>
      </c>
      <c r="D1990" s="1100">
        <v>0.99695073702818737</v>
      </c>
      <c r="E1990" s="1100">
        <v>0.9930823231961603</v>
      </c>
      <c r="F1990" s="1100">
        <v>1.0235338884614846</v>
      </c>
      <c r="G1990" s="1100">
        <v>1.0069246205547568</v>
      </c>
      <c r="H1990" s="1100">
        <v>0.9799883882415491</v>
      </c>
      <c r="I1990" s="1100">
        <v>0.97721331975476156</v>
      </c>
      <c r="K1990">
        <v>1.1721305843705225</v>
      </c>
      <c r="L1990">
        <v>0</v>
      </c>
      <c r="M1990">
        <v>8.2688508767830122E-4</v>
      </c>
      <c r="N1990">
        <v>7.4513826579325884E-2</v>
      </c>
      <c r="O1990">
        <v>1.0747374034416387E-2</v>
      </c>
      <c r="P1990">
        <v>1.3753402943169195E-2</v>
      </c>
      <c r="Q1990">
        <v>4.6344521667911236E-4</v>
      </c>
      <c r="R1990">
        <v>8.2501634369303706E-4</v>
      </c>
      <c r="S1990">
        <v>7.315152277386916E-2</v>
      </c>
      <c r="T1990">
        <v>0.84758012162403573</v>
      </c>
      <c r="U1990">
        <v>0</v>
      </c>
      <c r="V1990">
        <v>9.3318177478157918E-2</v>
      </c>
      <c r="W1990">
        <v>4.9152745575584737E-2</v>
      </c>
      <c r="X1990">
        <v>7.2064143683029267E-3</v>
      </c>
      <c r="Y1990">
        <v>2.2454225209678409E-3</v>
      </c>
    </row>
    <row r="1991" spans="1:25" x14ac:dyDescent="0.25">
      <c r="A1991" s="1096"/>
      <c r="B1991" s="1455">
        <v>1741</v>
      </c>
      <c r="C1991" s="1100">
        <v>0.99891715260329206</v>
      </c>
      <c r="D1991" s="1100">
        <v>1.0035581046315016</v>
      </c>
      <c r="E1991" s="1100">
        <v>0.95973038103883057</v>
      </c>
      <c r="F1991" s="1100">
        <v>1.0211560262586123</v>
      </c>
      <c r="G1991" s="1100">
        <v>1.0100422831767664</v>
      </c>
      <c r="H1991" s="1100">
        <v>0.97063124942224766</v>
      </c>
      <c r="I1991" s="1100">
        <v>0.98385966904481592</v>
      </c>
      <c r="K1991">
        <v>1.158892146018508</v>
      </c>
      <c r="L1991">
        <v>0</v>
      </c>
      <c r="M1991">
        <v>8.4445691505421441E-4</v>
      </c>
      <c r="N1991">
        <v>6.8789593194410345E-2</v>
      </c>
      <c r="O1991">
        <v>1.0332638361173617E-2</v>
      </c>
      <c r="P1991">
        <v>1.3365516449908469E-2</v>
      </c>
      <c r="Q1991">
        <v>4.306806850184298E-4</v>
      </c>
      <c r="R1991">
        <v>8.4253006107162451E-4</v>
      </c>
      <c r="S1991">
        <v>7.0415702610667499E-2</v>
      </c>
      <c r="T1991">
        <v>0.84789180158429478</v>
      </c>
      <c r="U1991">
        <v>0</v>
      </c>
      <c r="V1991">
        <v>9.2546758870267004E-2</v>
      </c>
      <c r="W1991">
        <v>4.6302565075971837E-2</v>
      </c>
      <c r="X1991">
        <v>6.5257269545010675E-3</v>
      </c>
      <c r="Y1991">
        <v>2.2930890862769737E-3</v>
      </c>
    </row>
    <row r="1992" spans="1:25" x14ac:dyDescent="0.25">
      <c r="A1992" s="1096"/>
      <c r="B1992" s="1455">
        <v>1742</v>
      </c>
      <c r="C1992" s="1100">
        <v>0.98584910926208613</v>
      </c>
      <c r="D1992" s="1100">
        <v>1.0056665270233343</v>
      </c>
      <c r="E1992" s="1100">
        <v>1.040684598393262</v>
      </c>
      <c r="F1992" s="1100">
        <v>1.0211723190364779</v>
      </c>
      <c r="G1992" s="1100">
        <v>0.98697386736101378</v>
      </c>
      <c r="H1992" s="1100">
        <v>1.0117829877042834</v>
      </c>
      <c r="I1992" s="1100">
        <v>0.99324324277629217</v>
      </c>
      <c r="K1992">
        <v>1.1719092277686836</v>
      </c>
      <c r="L1992">
        <v>0</v>
      </c>
      <c r="M1992">
        <v>7.5342188552229915E-4</v>
      </c>
      <c r="N1992">
        <v>7.8386697312922207E-2</v>
      </c>
      <c r="O1992">
        <v>1.0487632324937692E-2</v>
      </c>
      <c r="P1992">
        <v>1.4159575462879319E-2</v>
      </c>
      <c r="Q1992">
        <v>4.7420051809376947E-4</v>
      </c>
      <c r="R1992">
        <v>7.5177267371062597E-4</v>
      </c>
      <c r="S1992">
        <v>7.3729811092920969E-2</v>
      </c>
      <c r="T1992">
        <v>0.84243290173225538</v>
      </c>
      <c r="U1992">
        <v>0</v>
      </c>
      <c r="V1992">
        <v>9.1901793024312672E-2</v>
      </c>
      <c r="W1992">
        <v>5.0283750698714172E-2</v>
      </c>
      <c r="X1992">
        <v>8.0084374174137826E-3</v>
      </c>
      <c r="Y1992">
        <v>2.0460773960450391E-3</v>
      </c>
    </row>
    <row r="1993" spans="1:25" x14ac:dyDescent="0.25">
      <c r="A1993" s="1096"/>
      <c r="B1993" s="1455">
        <v>1743</v>
      </c>
      <c r="C1993" s="1100">
        <v>0.974893585867871</v>
      </c>
      <c r="D1993" s="1100">
        <v>0.98506641235926085</v>
      </c>
      <c r="E1993" s="1100">
        <v>1.0008313262415915</v>
      </c>
      <c r="F1993" s="1100">
        <v>0.96163201144182464</v>
      </c>
      <c r="G1993" s="1100">
        <v>1.0176733751276692</v>
      </c>
      <c r="H1993" s="1100">
        <v>0.97236258096228234</v>
      </c>
      <c r="I1993" s="1100">
        <v>1.0010939582459466</v>
      </c>
      <c r="K1993">
        <v>1.1196909042669554</v>
      </c>
      <c r="L1993">
        <v>0</v>
      </c>
      <c r="M1993">
        <v>8.0212786627763179E-4</v>
      </c>
      <c r="N1993">
        <v>7.3994137890027845E-2</v>
      </c>
      <c r="O1993">
        <v>1.0680149916260005E-2</v>
      </c>
      <c r="P1993">
        <v>1.3144801069304737E-2</v>
      </c>
      <c r="Q1993">
        <v>4.6415376438575399E-4</v>
      </c>
      <c r="R1993">
        <v>8.003008561938298E-4</v>
      </c>
      <c r="S1993">
        <v>7.4243608187033752E-2</v>
      </c>
      <c r="T1993">
        <v>0.79582560709018779</v>
      </c>
      <c r="U1993">
        <v>0</v>
      </c>
      <c r="V1993">
        <v>9.3489620257501557E-2</v>
      </c>
      <c r="W1993">
        <v>4.8585114833974201E-2</v>
      </c>
      <c r="X1993">
        <v>7.087383156910103E-3</v>
      </c>
      <c r="Y1993">
        <v>2.1781551114532626E-3</v>
      </c>
    </row>
    <row r="1994" spans="1:25" x14ac:dyDescent="0.25">
      <c r="A1994" s="1096"/>
      <c r="B1994" s="1455">
        <v>1744</v>
      </c>
      <c r="C1994" s="1100">
        <v>0.99505583933453645</v>
      </c>
      <c r="D1994" s="1100">
        <v>1.0182550680484712</v>
      </c>
      <c r="E1994" s="1100">
        <v>1.0284329025985932</v>
      </c>
      <c r="F1994" s="1100">
        <v>0.9988060731318058</v>
      </c>
      <c r="G1994" s="1100">
        <v>1.0082920646037845</v>
      </c>
      <c r="H1994" s="1100">
        <v>1.0041722673274533</v>
      </c>
      <c r="I1994" s="1100">
        <v>0.99885732280212214</v>
      </c>
      <c r="K1994">
        <v>1.1491149214462968</v>
      </c>
      <c r="L1994">
        <v>0</v>
      </c>
      <c r="M1994">
        <v>7.5623363167232841E-4</v>
      </c>
      <c r="N1994">
        <v>7.5826006924896217E-2</v>
      </c>
      <c r="O1994">
        <v>1.0334999382860095E-2</v>
      </c>
      <c r="P1994">
        <v>1.378338173438353E-2</v>
      </c>
      <c r="Q1994">
        <v>4.6168680246324933E-4</v>
      </c>
      <c r="R1994">
        <v>7.5456571886902551E-4</v>
      </c>
      <c r="S1994">
        <v>7.267065935579417E-2</v>
      </c>
      <c r="T1994">
        <v>0.82477794448598973</v>
      </c>
      <c r="U1994">
        <v>0</v>
      </c>
      <c r="V1994">
        <v>9.2577794042358511E-2</v>
      </c>
      <c r="W1994">
        <v>4.898702847879443E-2</v>
      </c>
      <c r="X1994">
        <v>7.6434090073195507E-3</v>
      </c>
      <c r="Y1994">
        <v>2.0536791442391134E-3</v>
      </c>
    </row>
    <row r="1995" spans="1:25" x14ac:dyDescent="0.25">
      <c r="A1995" s="1096"/>
      <c r="B1995" s="1455">
        <v>1745</v>
      </c>
      <c r="C1995" s="1100">
        <v>0.99857129159772362</v>
      </c>
      <c r="D1995" s="1100">
        <v>1.0350579314875603</v>
      </c>
      <c r="E1995" s="1100">
        <v>0.98245273495762575</v>
      </c>
      <c r="F1995" s="1100">
        <v>0.98667361722027525</v>
      </c>
      <c r="G1995" s="1100">
        <v>1.0023662991129976</v>
      </c>
      <c r="H1995" s="1100">
        <v>1.0058818755753474</v>
      </c>
      <c r="I1995" s="1100">
        <v>0.97872248827370756</v>
      </c>
      <c r="K1995">
        <v>1.1329956389527704</v>
      </c>
      <c r="L1995">
        <v>0</v>
      </c>
      <c r="M1995">
        <v>8.2504136884100612E-4</v>
      </c>
      <c r="N1995">
        <v>7.200010980192989E-2</v>
      </c>
      <c r="O1995">
        <v>1.021653601992397E-2</v>
      </c>
      <c r="P1995">
        <v>1.3190226234134683E-2</v>
      </c>
      <c r="Q1995">
        <v>4.3584076244594443E-4</v>
      </c>
      <c r="R1995">
        <v>8.2322478971171389E-4</v>
      </c>
      <c r="S1995">
        <v>7.0377587746711545E-2</v>
      </c>
      <c r="T1995">
        <v>0.81775493414470346</v>
      </c>
      <c r="U1995">
        <v>0</v>
      </c>
      <c r="V1995">
        <v>9.2229813755995677E-2</v>
      </c>
      <c r="W1995">
        <v>4.7798521214550256E-2</v>
      </c>
      <c r="X1995">
        <v>6.7533393498885241E-3</v>
      </c>
      <c r="Y1995">
        <v>2.2405465016162901E-3</v>
      </c>
    </row>
    <row r="1996" spans="1:25" x14ac:dyDescent="0.25">
      <c r="A1996" s="1096"/>
      <c r="B1996" s="1455">
        <v>1746</v>
      </c>
      <c r="C1996" s="1100">
        <v>1.0036643342559166</v>
      </c>
      <c r="D1996" s="1100">
        <v>1.0110338859883061</v>
      </c>
      <c r="E1996" s="1100">
        <v>1.0379542865962197</v>
      </c>
      <c r="F1996" s="1100">
        <v>0.98810407784649934</v>
      </c>
      <c r="G1996" s="1100">
        <v>1.0266534208205149</v>
      </c>
      <c r="H1996" s="1100">
        <v>1.0059731682421731</v>
      </c>
      <c r="I1996" s="1100">
        <v>0.96324051665374644</v>
      </c>
      <c r="K1996">
        <v>1.1376495521298944</v>
      </c>
      <c r="L1996">
        <v>0</v>
      </c>
      <c r="M1996">
        <v>7.3842907608827498E-4</v>
      </c>
      <c r="N1996">
        <v>7.6196549196104135E-2</v>
      </c>
      <c r="O1996">
        <v>1.0278673023550998E-2</v>
      </c>
      <c r="P1996">
        <v>1.3714357453055652E-2</v>
      </c>
      <c r="Q1996">
        <v>4.6350587304896322E-4</v>
      </c>
      <c r="R1996">
        <v>7.3680334777386468E-4</v>
      </c>
      <c r="S1996">
        <v>6.9813104776500212E-2</v>
      </c>
      <c r="T1996">
        <v>0.81532788324679695</v>
      </c>
      <c r="U1996">
        <v>0</v>
      </c>
      <c r="V1996">
        <v>9.3150249320827383E-2</v>
      </c>
      <c r="W1996">
        <v>4.8955771139168477E-2</v>
      </c>
      <c r="X1996">
        <v>7.7457480036728574E-3</v>
      </c>
      <c r="Y1996">
        <v>2.0053358254821436E-3</v>
      </c>
    </row>
    <row r="1997" spans="1:25" x14ac:dyDescent="0.25">
      <c r="A1997" s="1096"/>
      <c r="B1997" s="1455">
        <v>1747</v>
      </c>
      <c r="C1997" s="1100">
        <v>0.96893587042006479</v>
      </c>
      <c r="D1997" s="1100">
        <v>1.0224724427315561</v>
      </c>
      <c r="E1997" s="1100">
        <v>1.0229950498806577</v>
      </c>
      <c r="F1997" s="1100">
        <v>0.98964947038891105</v>
      </c>
      <c r="G1997" s="1100">
        <v>1.0277823449009984</v>
      </c>
      <c r="H1997" s="1100">
        <v>0.98562425082858529</v>
      </c>
      <c r="I1997" s="1100">
        <v>1.0267964437065937</v>
      </c>
      <c r="K1997">
        <v>1.1469546565410402</v>
      </c>
      <c r="L1997">
        <v>0</v>
      </c>
      <c r="M1997">
        <v>7.6968234146722531E-4</v>
      </c>
      <c r="N1997">
        <v>7.5916139395316232E-2</v>
      </c>
      <c r="O1997">
        <v>1.0594243323536938E-2</v>
      </c>
      <c r="P1997">
        <v>1.3692505903603512E-2</v>
      </c>
      <c r="Q1997">
        <v>4.7072418731444526E-4</v>
      </c>
      <c r="R1997">
        <v>7.6795282094306951E-4</v>
      </c>
      <c r="S1997">
        <v>7.5755182413873107E-2</v>
      </c>
      <c r="T1997">
        <v>0.81756855368692982</v>
      </c>
      <c r="U1997">
        <v>0</v>
      </c>
      <c r="V1997">
        <v>9.4081526155804701E-2</v>
      </c>
      <c r="W1997">
        <v>4.9200839654016199E-2</v>
      </c>
      <c r="X1997">
        <v>7.586556918140243E-3</v>
      </c>
      <c r="Y1997">
        <v>2.0901144230276486E-3</v>
      </c>
    </row>
    <row r="1998" spans="1:25" x14ac:dyDescent="0.25">
      <c r="A1998" s="1096"/>
      <c r="B1998" s="1455">
        <v>1748</v>
      </c>
      <c r="C1998" s="1100">
        <v>1.033040081523233</v>
      </c>
      <c r="D1998" s="1100">
        <v>1.014042594288082</v>
      </c>
      <c r="E1998" s="1100">
        <v>1.000076447062141</v>
      </c>
      <c r="F1998" s="1100">
        <v>0.99047247414823714</v>
      </c>
      <c r="G1998" s="1100">
        <v>0.97833650418080653</v>
      </c>
      <c r="H1998" s="1100">
        <v>0.98012257658163027</v>
      </c>
      <c r="I1998" s="1100">
        <v>0.99906454662150046</v>
      </c>
      <c r="K1998">
        <v>1.127286950693726</v>
      </c>
      <c r="L1998">
        <v>0</v>
      </c>
      <c r="M1998">
        <v>7.5540458052638347E-4</v>
      </c>
      <c r="N1998">
        <v>6.9526558397192587E-2</v>
      </c>
      <c r="O1998">
        <v>9.9625553299097225E-3</v>
      </c>
      <c r="P1998">
        <v>1.3351969098202937E-2</v>
      </c>
      <c r="Q1998">
        <v>4.326391527958978E-4</v>
      </c>
      <c r="R1998">
        <v>7.5369761480936174E-4</v>
      </c>
      <c r="S1998">
        <v>6.9188951772552312E-2</v>
      </c>
      <c r="T1998">
        <v>0.81974283228910827</v>
      </c>
      <c r="U1998">
        <v>0</v>
      </c>
      <c r="V1998">
        <v>9.0376856144392212E-2</v>
      </c>
      <c r="W1998">
        <v>4.5672147371346755E-2</v>
      </c>
      <c r="X1998">
        <v>6.9828316527818547E-3</v>
      </c>
      <c r="Y1998">
        <v>2.0513164511591353E-3</v>
      </c>
    </row>
    <row r="1999" spans="1:25" x14ac:dyDescent="0.25">
      <c r="A1999" s="1096"/>
      <c r="B1999" s="1455">
        <v>1749</v>
      </c>
      <c r="C1999" s="1100">
        <v>1.0010568724342928</v>
      </c>
      <c r="D1999" s="1100">
        <v>0.99193297543973979</v>
      </c>
      <c r="E1999" s="1100">
        <v>1.0328139857147038</v>
      </c>
      <c r="F1999" s="1100">
        <v>1.0254866045027449</v>
      </c>
      <c r="G1999" s="1100">
        <v>1.00231906413243</v>
      </c>
      <c r="H1999" s="1100">
        <v>1.0370142571050767</v>
      </c>
      <c r="I1999" s="1100">
        <v>1.0151972915799667</v>
      </c>
      <c r="K1999">
        <v>1.1793588000472861</v>
      </c>
      <c r="L1999">
        <v>0</v>
      </c>
      <c r="M1999">
        <v>7.7733059276651785E-4</v>
      </c>
      <c r="N1999">
        <v>7.8983043762455726E-2</v>
      </c>
      <c r="O1999">
        <v>1.0382674744191557E-2</v>
      </c>
      <c r="P1999">
        <v>1.4168660067627703E-2</v>
      </c>
      <c r="Q1999">
        <v>4.6582927792941149E-4</v>
      </c>
      <c r="R1999">
        <v>7.7567044551442375E-4</v>
      </c>
      <c r="S1999">
        <v>7.5775018265424016E-2</v>
      </c>
      <c r="T1999">
        <v>0.84651678092584204</v>
      </c>
      <c r="U1999">
        <v>0</v>
      </c>
      <c r="V1999">
        <v>9.217391628691754E-2</v>
      </c>
      <c r="W1999">
        <v>5.089707868051719E-2</v>
      </c>
      <c r="X1999">
        <v>7.8863389306362639E-3</v>
      </c>
      <c r="Y1999">
        <v>2.1111192529966179E-3</v>
      </c>
    </row>
    <row r="2000" spans="1:25" x14ac:dyDescent="0.25">
      <c r="A2000" s="1096"/>
      <c r="B2000" s="1455">
        <v>1750</v>
      </c>
      <c r="C2000" s="1100">
        <v>0.98928216280748482</v>
      </c>
      <c r="D2000" s="1100">
        <v>0.97983441025294771</v>
      </c>
      <c r="E2000" s="1100">
        <v>0.99183112674788054</v>
      </c>
      <c r="F2000" s="1100">
        <v>0.97447094771324194</v>
      </c>
      <c r="G2000" s="1100">
        <v>0.98494024389434287</v>
      </c>
      <c r="H2000" s="1100">
        <v>1.0195149814273616</v>
      </c>
      <c r="I2000" s="1100">
        <v>0.96517652817428268</v>
      </c>
      <c r="K2000">
        <v>1.1308975773038319</v>
      </c>
      <c r="L2000">
        <v>0</v>
      </c>
      <c r="M2000">
        <v>8.4620274152513958E-4</v>
      </c>
      <c r="N2000">
        <v>7.5973418906927118E-2</v>
      </c>
      <c r="O2000">
        <v>1.0544256317705149E-2</v>
      </c>
      <c r="P2000">
        <v>1.316210172387737E-2</v>
      </c>
      <c r="Q2000">
        <v>4.541125511465403E-4</v>
      </c>
      <c r="R2000">
        <v>8.4436448382454955E-4</v>
      </c>
      <c r="S2000">
        <v>7.2609129329088903E-2</v>
      </c>
      <c r="T2000">
        <v>0.80703251610143378</v>
      </c>
      <c r="U2000">
        <v>0</v>
      </c>
      <c r="V2000">
        <v>9.1719003950621394E-2</v>
      </c>
      <c r="W2000">
        <v>5.0153064646090401E-2</v>
      </c>
      <c r="X2000">
        <v>6.9537302543476011E-3</v>
      </c>
      <c r="Y2000">
        <v>2.2980817802931383E-3</v>
      </c>
    </row>
    <row r="2001" spans="1:25" x14ac:dyDescent="0.25">
      <c r="A2001" s="1096"/>
      <c r="B2001" s="1455">
        <v>1751</v>
      </c>
      <c r="C2001" s="1100">
        <v>1.0002652589746868</v>
      </c>
      <c r="D2001" s="1100">
        <v>1.0294638701608005</v>
      </c>
      <c r="E2001" s="1100">
        <v>1.0026280128612295</v>
      </c>
      <c r="F2001" s="1100">
        <v>1.0330150811988421</v>
      </c>
      <c r="G2001" s="1100">
        <v>0.99375407682179484</v>
      </c>
      <c r="H2001" s="1100">
        <v>0.99379705322234269</v>
      </c>
      <c r="I2001" s="1100">
        <v>1.0117592208752109</v>
      </c>
      <c r="K2001">
        <v>1.1730919789818877</v>
      </c>
      <c r="L2001">
        <v>0</v>
      </c>
      <c r="M2001">
        <v>7.8212805244559061E-4</v>
      </c>
      <c r="N2001">
        <v>7.2545434244649987E-2</v>
      </c>
      <c r="O2001">
        <v>1.0227884613510096E-2</v>
      </c>
      <c r="P2001">
        <v>1.3919079637132029E-2</v>
      </c>
      <c r="Q2001">
        <v>4.45301266270688E-4</v>
      </c>
      <c r="R2001">
        <v>7.8038501893714198E-4</v>
      </c>
      <c r="S2001">
        <v>7.2363912584351694E-2</v>
      </c>
      <c r="T2001">
        <v>0.85477790105561069</v>
      </c>
      <c r="U2001">
        <v>0</v>
      </c>
      <c r="V2001">
        <v>9.1822469187914382E-2</v>
      </c>
      <c r="W2001">
        <v>4.7583115505630082E-2</v>
      </c>
      <c r="X2001">
        <v>7.2846731526314814E-3</v>
      </c>
      <c r="Y2001">
        <v>2.1239507676945463E-3</v>
      </c>
    </row>
    <row r="2002" spans="1:25" x14ac:dyDescent="0.25">
      <c r="A2002" s="1096"/>
      <c r="B2002" s="1455">
        <v>1752</v>
      </c>
      <c r="C2002" s="1100">
        <v>0.96710767853580482</v>
      </c>
      <c r="D2002" s="1100">
        <v>1.0096769421677123</v>
      </c>
      <c r="E2002" s="1100">
        <v>0.98808983371635817</v>
      </c>
      <c r="F2002" s="1100">
        <v>0.95992068516809259</v>
      </c>
      <c r="G2002" s="1100">
        <v>1.0081107070494562</v>
      </c>
      <c r="H2002" s="1100">
        <v>1.0226032490896917</v>
      </c>
      <c r="I2002" s="1100">
        <v>0.99645111247257556</v>
      </c>
      <c r="K2002">
        <v>1.1250308590008027</v>
      </c>
      <c r="L2002">
        <v>0</v>
      </c>
      <c r="M2002">
        <v>8.6454285527997308E-4</v>
      </c>
      <c r="N2002">
        <v>7.6747468904419594E-2</v>
      </c>
      <c r="O2002">
        <v>1.0656094935218277E-2</v>
      </c>
      <c r="P2002">
        <v>1.302757034538124E-2</v>
      </c>
      <c r="Q2002">
        <v>4.5719690366334168E-4</v>
      </c>
      <c r="R2002">
        <v>8.6267042810427496E-4</v>
      </c>
      <c r="S2002">
        <v>7.5635559273199787E-2</v>
      </c>
      <c r="T2002">
        <v>0.7952212833203437</v>
      </c>
      <c r="U2002">
        <v>0</v>
      </c>
      <c r="V2002">
        <v>9.328349878628811E-2</v>
      </c>
      <c r="W2002">
        <v>5.0777728085639365E-2</v>
      </c>
      <c r="X2002">
        <v>6.8784263477544658E-3</v>
      </c>
      <c r="Y2002">
        <v>2.3479045260696406E-3</v>
      </c>
    </row>
    <row r="2003" spans="1:25" x14ac:dyDescent="0.25">
      <c r="A2003" s="1096"/>
      <c r="B2003" s="1455">
        <v>1753</v>
      </c>
      <c r="C2003" s="1100">
        <v>1.0202267350230021</v>
      </c>
      <c r="D2003" s="1100">
        <v>0.99595884679882529</v>
      </c>
      <c r="E2003" s="1100">
        <v>0.99249909512022039</v>
      </c>
      <c r="F2003" s="1100">
        <v>1.0061608603232084</v>
      </c>
      <c r="G2003" s="1100">
        <v>1.0109757435340274</v>
      </c>
      <c r="H2003" s="1100">
        <v>0.98367829325870848</v>
      </c>
      <c r="I2003" s="1100">
        <v>0.98923875878430256</v>
      </c>
      <c r="K2003">
        <v>1.1459308559766352</v>
      </c>
      <c r="L2003">
        <v>0</v>
      </c>
      <c r="M2003">
        <v>7.8545424190081588E-4</v>
      </c>
      <c r="N2003">
        <v>7.0656257333778894E-2</v>
      </c>
      <c r="O2003">
        <v>1.0158114781112513E-2</v>
      </c>
      <c r="P2003">
        <v>1.3495211635309819E-2</v>
      </c>
      <c r="Q2003">
        <v>4.3777759668697531E-4</v>
      </c>
      <c r="R2003">
        <v>7.8368578948187257E-4</v>
      </c>
      <c r="S2003">
        <v>7.0145993501542825E-2</v>
      </c>
      <c r="T2003">
        <v>0.83323264510639428</v>
      </c>
      <c r="U2003">
        <v>0</v>
      </c>
      <c r="V2003">
        <v>9.2072594207508351E-2</v>
      </c>
      <c r="W2003">
        <v>4.6624366859920045E-2</v>
      </c>
      <c r="X2003">
        <v>6.9767290297800127E-3</v>
      </c>
      <c r="Y2003">
        <v>2.132934377018586E-3</v>
      </c>
    </row>
    <row r="2004" spans="1:25" x14ac:dyDescent="0.25">
      <c r="A2004" s="1096"/>
      <c r="B2004" s="1455">
        <v>1754</v>
      </c>
      <c r="C2004" s="1100">
        <v>0.99066242513195635</v>
      </c>
      <c r="D2004" s="1100">
        <v>0.97605677986663175</v>
      </c>
      <c r="E2004" s="1100">
        <v>1.0324526816509896</v>
      </c>
      <c r="F2004" s="1100">
        <v>1.0448076689779757</v>
      </c>
      <c r="G2004" s="1100">
        <v>1.0104736694404437</v>
      </c>
      <c r="H2004" s="1100">
        <v>1.00717501816483</v>
      </c>
      <c r="I2004" s="1100">
        <v>0.99896973044816839</v>
      </c>
      <c r="K2004">
        <v>1.1937336557493201</v>
      </c>
      <c r="L2004">
        <v>0</v>
      </c>
      <c r="M2004">
        <v>7.684029710609973E-4</v>
      </c>
      <c r="N2004">
        <v>7.7986004358720121E-2</v>
      </c>
      <c r="O2004">
        <v>1.0559423941154628E-2</v>
      </c>
      <c r="P2004">
        <v>1.4381890276675215E-2</v>
      </c>
      <c r="Q2004">
        <v>4.7359034917536806E-4</v>
      </c>
      <c r="R2004">
        <v>7.6671327081133519E-4</v>
      </c>
      <c r="S2004">
        <v>7.4733336517823074E-2</v>
      </c>
      <c r="T2004">
        <v>0.86249048998568456</v>
      </c>
      <c r="U2004">
        <v>0</v>
      </c>
      <c r="V2004">
        <v>9.2782215664911821E-2</v>
      </c>
      <c r="W2004">
        <v>5.026510052743393E-2</v>
      </c>
      <c r="X2004">
        <v>7.9765530518043585E-3</v>
      </c>
      <c r="Y2004">
        <v>2.0867407761866589E-3</v>
      </c>
    </row>
    <row r="2005" spans="1:25" x14ac:dyDescent="0.25">
      <c r="A2005" s="1096"/>
      <c r="B2005" s="1455">
        <v>1755</v>
      </c>
      <c r="C2005" s="1100">
        <v>0.97939946502777908</v>
      </c>
      <c r="D2005" s="1100">
        <v>1.0215177084873184</v>
      </c>
      <c r="E2005" s="1100">
        <v>0.98988541394495522</v>
      </c>
      <c r="F2005" s="1100">
        <v>1.0136207503280876</v>
      </c>
      <c r="G2005" s="1100">
        <v>0.96516962669195128</v>
      </c>
      <c r="H2005" s="1100">
        <v>0.96028007071397459</v>
      </c>
      <c r="I2005" s="1100">
        <v>1.0367343338356221</v>
      </c>
      <c r="K2005">
        <v>1.1568547831049747</v>
      </c>
      <c r="L2005">
        <v>0</v>
      </c>
      <c r="M2005">
        <v>7.9497244584152919E-4</v>
      </c>
      <c r="N2005">
        <v>7.094573821629252E-2</v>
      </c>
      <c r="O2005">
        <v>1.0473993324343794E-2</v>
      </c>
      <c r="P2005">
        <v>1.3601951261078594E-2</v>
      </c>
      <c r="Q2005">
        <v>4.502006741462951E-4</v>
      </c>
      <c r="R2005">
        <v>7.9313895080694672E-4</v>
      </c>
      <c r="S2005">
        <v>7.4585057683784359E-2</v>
      </c>
      <c r="T2005">
        <v>0.83958655922654724</v>
      </c>
      <c r="U2005">
        <v>0</v>
      </c>
      <c r="V2005">
        <v>9.1126053563009624E-2</v>
      </c>
      <c r="W2005">
        <v>4.688867795268644E-2</v>
      </c>
      <c r="X2005">
        <v>7.0397219322089035E-3</v>
      </c>
      <c r="Y2005">
        <v>2.1586627659116436E-3</v>
      </c>
    </row>
    <row r="2006" spans="1:25" x14ac:dyDescent="0.25">
      <c r="A2006" s="1096"/>
      <c r="B2006" s="1455">
        <v>1756</v>
      </c>
      <c r="C2006" s="1100">
        <v>1.0110723865148172</v>
      </c>
      <c r="D2006" s="1100">
        <v>0.97415978371073197</v>
      </c>
      <c r="E2006" s="1100">
        <v>0.99566776417370273</v>
      </c>
      <c r="F2006" s="1100">
        <v>0.97501195129319695</v>
      </c>
      <c r="G2006" s="1100">
        <v>0.97309092944125342</v>
      </c>
      <c r="H2006" s="1100">
        <v>1.0187132879009295</v>
      </c>
      <c r="I2006" s="1100">
        <v>1.027278092434835</v>
      </c>
      <c r="K2006">
        <v>1.1308947029788772</v>
      </c>
      <c r="L2006">
        <v>0</v>
      </c>
      <c r="M2006">
        <v>8.226721711305547E-4</v>
      </c>
      <c r="N2006">
        <v>7.4722201437886743E-2</v>
      </c>
      <c r="O2006">
        <v>1.03422619531779E-2</v>
      </c>
      <c r="P2006">
        <v>1.3232140598024513E-2</v>
      </c>
      <c r="Q2006">
        <v>4.4714023862431047E-4</v>
      </c>
      <c r="R2006">
        <v>8.2088362389922634E-4</v>
      </c>
      <c r="S2006">
        <v>7.5812159835181359E-2</v>
      </c>
      <c r="T2006">
        <v>0.80723214802514309</v>
      </c>
      <c r="U2006">
        <v>0</v>
      </c>
      <c r="V2006">
        <v>9.0673122375085222E-2</v>
      </c>
      <c r="W2006">
        <v>4.9214179069912732E-2</v>
      </c>
      <c r="X2006">
        <v>6.9869633730337451E-3</v>
      </c>
      <c r="Y2006">
        <v>2.2341746200398018E-3</v>
      </c>
    </row>
    <row r="2007" spans="1:25" x14ac:dyDescent="0.25">
      <c r="A2007" s="1096"/>
      <c r="B2007" s="1455">
        <v>1757</v>
      </c>
      <c r="C2007" s="1100">
        <v>1.0188282838826825</v>
      </c>
      <c r="D2007" s="1100">
        <v>1.0112394738140886</v>
      </c>
      <c r="E2007" s="1100">
        <v>0.99089711949694848</v>
      </c>
      <c r="F2007" s="1100">
        <v>0.99247624744530538</v>
      </c>
      <c r="G2007" s="1100">
        <v>0.99737337309099838</v>
      </c>
      <c r="H2007" s="1100">
        <v>0.98914292701843931</v>
      </c>
      <c r="I2007" s="1100">
        <v>1.0129567978271885</v>
      </c>
      <c r="K2007">
        <v>1.1352735168036421</v>
      </c>
      <c r="L2007">
        <v>0</v>
      </c>
      <c r="M2007">
        <v>7.8871263193591062E-4</v>
      </c>
      <c r="N2007">
        <v>7.0607481375875497E-2</v>
      </c>
      <c r="O2007">
        <v>1.0109782098449099E-2</v>
      </c>
      <c r="P2007">
        <v>1.3339015860257696E-2</v>
      </c>
      <c r="Q2007">
        <v>4.3499038274627527E-4</v>
      </c>
      <c r="R2007">
        <v>7.8694665379139077E-4</v>
      </c>
      <c r="S2007">
        <v>7.1583567363180972E-2</v>
      </c>
      <c r="T2007">
        <v>0.82200568562000143</v>
      </c>
      <c r="U2007">
        <v>0</v>
      </c>
      <c r="V2007">
        <v>9.1524101655652002E-2</v>
      </c>
      <c r="W2007">
        <v>4.6636855794695571E-2</v>
      </c>
      <c r="X2007">
        <v>6.8919932562022E-3</v>
      </c>
      <c r="Y2007">
        <v>2.1418093747254631E-3</v>
      </c>
    </row>
    <row r="2008" spans="1:25" x14ac:dyDescent="0.25">
      <c r="A2008" s="1096"/>
      <c r="B2008" s="1455">
        <v>1758</v>
      </c>
      <c r="C2008" s="1100">
        <v>1.0125105126337954</v>
      </c>
      <c r="D2008" s="1100">
        <v>1.0047324779574134</v>
      </c>
      <c r="E2008" s="1100">
        <v>0.98777709082688203</v>
      </c>
      <c r="F2008" s="1100">
        <v>0.98848137823374715</v>
      </c>
      <c r="G2008" s="1100">
        <v>1.0000713985016936</v>
      </c>
      <c r="H2008" s="1100">
        <v>1.0365253215244303</v>
      </c>
      <c r="I2008" s="1100">
        <v>0.96787832181815436</v>
      </c>
      <c r="K2008">
        <v>1.1382962036267157</v>
      </c>
      <c r="L2008">
        <v>0</v>
      </c>
      <c r="M2008">
        <v>8.3920597834052934E-4</v>
      </c>
      <c r="N2008">
        <v>7.4430005703346139E-2</v>
      </c>
      <c r="O2008">
        <v>1.0198161411625046E-2</v>
      </c>
      <c r="P2008">
        <v>1.3259965662483995E-2</v>
      </c>
      <c r="Q2008">
        <v>4.3741093782369408E-4</v>
      </c>
      <c r="R2008">
        <v>8.3741283820718004E-4</v>
      </c>
      <c r="S2008">
        <v>7.0888814019032589E-2</v>
      </c>
      <c r="T2008">
        <v>0.81890223275585194</v>
      </c>
      <c r="U2008">
        <v>0</v>
      </c>
      <c r="V2008">
        <v>9.1790801064907279E-2</v>
      </c>
      <c r="W2008">
        <v>4.9253688049371282E-2</v>
      </c>
      <c r="X2008">
        <v>6.8577554698744138E-3</v>
      </c>
      <c r="Y2008">
        <v>2.27916169253202E-3</v>
      </c>
    </row>
    <row r="2009" spans="1:25" x14ac:dyDescent="0.25">
      <c r="A2009" s="1096"/>
      <c r="B2009" s="1455">
        <v>1759</v>
      </c>
      <c r="C2009" s="1100">
        <v>1.0183236164988381</v>
      </c>
      <c r="D2009" s="1100">
        <v>1.0002652364687981</v>
      </c>
      <c r="E2009" s="1100">
        <v>1.0215571871063485</v>
      </c>
      <c r="F2009" s="1100">
        <v>0.9743068240924021</v>
      </c>
      <c r="G2009" s="1100">
        <v>0.97657486692803841</v>
      </c>
      <c r="H2009" s="1100">
        <v>0.96417462849589097</v>
      </c>
      <c r="I2009" s="1100">
        <v>1.0048222664344033</v>
      </c>
      <c r="K2009">
        <v>1.1167720840334598</v>
      </c>
      <c r="L2009">
        <v>0</v>
      </c>
      <c r="M2009">
        <v>7.2490210614006628E-4</v>
      </c>
      <c r="N2009">
        <v>7.1186339226574274E-2</v>
      </c>
      <c r="O2009">
        <v>1.0168899012441081E-2</v>
      </c>
      <c r="P2009">
        <v>1.3383078507625497E-2</v>
      </c>
      <c r="Q2009">
        <v>4.5118066838531836E-4</v>
      </c>
      <c r="R2009">
        <v>7.2323697194221328E-4</v>
      </c>
      <c r="S2009">
        <v>7.0476169239138464E-2</v>
      </c>
      <c r="T2009">
        <v>0.8049854332916071</v>
      </c>
      <c r="U2009">
        <v>0</v>
      </c>
      <c r="V2009">
        <v>9.0651798808827011E-2</v>
      </c>
      <c r="W2009">
        <v>4.6174238988341776E-2</v>
      </c>
      <c r="X2009">
        <v>7.3281988020925488E-3</v>
      </c>
      <c r="Y2009">
        <v>1.9684126226229793E-3</v>
      </c>
    </row>
    <row r="2010" spans="1:25" x14ac:dyDescent="0.25">
      <c r="A2010" s="1096"/>
      <c r="B2010" s="1455">
        <v>1760</v>
      </c>
      <c r="C2010" s="1100">
        <v>0.98516953464506207</v>
      </c>
      <c r="D2010" s="1100">
        <v>0.99092082431474082</v>
      </c>
      <c r="E2010" s="1100">
        <v>1.0229863261606487</v>
      </c>
      <c r="F2010" s="1100">
        <v>1.0225135153511358</v>
      </c>
      <c r="G2010" s="1100">
        <v>0.98518418699036869</v>
      </c>
      <c r="H2010" s="1100">
        <v>0.97186211465566563</v>
      </c>
      <c r="I2010" s="1100">
        <v>0.98108148107353321</v>
      </c>
      <c r="K2010">
        <v>1.1659250169949007</v>
      </c>
      <c r="L2010">
        <v>0</v>
      </c>
      <c r="M2010">
        <v>7.5586076864602749E-4</v>
      </c>
      <c r="N2010">
        <v>7.4548535986301831E-2</v>
      </c>
      <c r="O2010">
        <v>1.0551129334504869E-2</v>
      </c>
      <c r="P2010">
        <v>1.3982641222402227E-2</v>
      </c>
      <c r="Q2010">
        <v>4.6880448432603682E-4</v>
      </c>
      <c r="R2010">
        <v>7.5413825476662469E-4</v>
      </c>
      <c r="S2010">
        <v>7.1786266032427326E-2</v>
      </c>
      <c r="T2010">
        <v>0.84471876027698889</v>
      </c>
      <c r="U2010">
        <v>0</v>
      </c>
      <c r="V2010">
        <v>9.1839318006601639E-2</v>
      </c>
      <c r="W2010">
        <v>4.8314749286912234E-2</v>
      </c>
      <c r="X2010">
        <v>7.6640191504477378E-3</v>
      </c>
      <c r="Y2010">
        <v>2.0525157278658821E-3</v>
      </c>
    </row>
    <row r="2011" spans="1:25" x14ac:dyDescent="0.25">
      <c r="A2011" s="1096"/>
      <c r="B2011" s="1455">
        <v>1761</v>
      </c>
      <c r="C2011" s="1100">
        <v>0.98311921921403489</v>
      </c>
      <c r="D2011" s="1100">
        <v>1.0150971808946121</v>
      </c>
      <c r="E2011" s="1100">
        <v>0.97119334104910293</v>
      </c>
      <c r="F2011" s="1100">
        <v>0.99087694525264414</v>
      </c>
      <c r="G2011" s="1100">
        <v>0.99189234980876195</v>
      </c>
      <c r="H2011" s="1100">
        <v>1.0351312671308905</v>
      </c>
      <c r="I2011" s="1100">
        <v>1.0280371755427025</v>
      </c>
      <c r="K2011">
        <v>1.1496008226825831</v>
      </c>
      <c r="L2011">
        <v>0</v>
      </c>
      <c r="M2011">
        <v>8.8958196863417772E-4</v>
      </c>
      <c r="N2011">
        <v>7.5036379526619346E-2</v>
      </c>
      <c r="O2011">
        <v>1.045454642448769E-2</v>
      </c>
      <c r="P2011">
        <v>1.3222319191898676E-2</v>
      </c>
      <c r="Q2011">
        <v>4.4091054386295275E-4</v>
      </c>
      <c r="R2011">
        <v>8.8767862974065733E-4</v>
      </c>
      <c r="S2011">
        <v>7.7060993409717213E-2</v>
      </c>
      <c r="T2011">
        <v>0.82198564421039477</v>
      </c>
      <c r="U2011">
        <v>0</v>
      </c>
      <c r="V2011">
        <v>9.2170257824163784E-2</v>
      </c>
      <c r="W2011">
        <v>5.0154887882594937E-2</v>
      </c>
      <c r="X2011">
        <v>6.6608184007631646E-3</v>
      </c>
      <c r="Y2011">
        <v>2.4159686069724195E-3</v>
      </c>
    </row>
    <row r="2012" spans="1:25" x14ac:dyDescent="0.25">
      <c r="A2012" s="1096"/>
      <c r="B2012" s="1455">
        <v>1762</v>
      </c>
      <c r="C2012" s="1100">
        <v>0.98396860440489786</v>
      </c>
      <c r="D2012" s="1100">
        <v>0.99729174789558761</v>
      </c>
      <c r="E2012" s="1100">
        <v>1.0151789407586431</v>
      </c>
      <c r="F2012" s="1100">
        <v>0.9943167296722617</v>
      </c>
      <c r="G2012" s="1100">
        <v>1.0313551726803909</v>
      </c>
      <c r="H2012" s="1100">
        <v>1.0129587170787446</v>
      </c>
      <c r="I2012" s="1100">
        <v>0.99322344748796265</v>
      </c>
      <c r="K2012">
        <v>1.151455486203943</v>
      </c>
      <c r="L2012">
        <v>0</v>
      </c>
      <c r="M2012">
        <v>7.9964873546239424E-4</v>
      </c>
      <c r="N2012">
        <v>7.7038372863748553E-2</v>
      </c>
      <c r="O2012">
        <v>1.0534353547630378E-2</v>
      </c>
      <c r="P2012">
        <v>1.3649622625176949E-2</v>
      </c>
      <c r="Q2012">
        <v>4.6443842697282419E-4</v>
      </c>
      <c r="R2012">
        <v>7.9790036650645478E-4</v>
      </c>
      <c r="S2012">
        <v>7.4204272380586161E-2</v>
      </c>
      <c r="T2012">
        <v>0.8219339826429537</v>
      </c>
      <c r="U2012">
        <v>0</v>
      </c>
      <c r="V2012">
        <v>9.3842134174579858E-2</v>
      </c>
      <c r="W2012">
        <v>5.0157154485438636E-2</v>
      </c>
      <c r="X2012">
        <v>7.461281655966337E-3</v>
      </c>
      <c r="Y2012">
        <v>2.1716217698454416E-3</v>
      </c>
    </row>
    <row r="2013" spans="1:25" x14ac:dyDescent="0.25">
      <c r="A2013" s="1096"/>
      <c r="B2013" s="1455">
        <v>1763</v>
      </c>
      <c r="C2013" s="1100">
        <v>1.0214331407585333</v>
      </c>
      <c r="D2013" s="1100">
        <v>0.98182041977918932</v>
      </c>
      <c r="E2013" s="1100">
        <v>0.99966052718781206</v>
      </c>
      <c r="F2013" s="1100">
        <v>0.96954106700887266</v>
      </c>
      <c r="G2013" s="1100">
        <v>0.99058094958120291</v>
      </c>
      <c r="H2013" s="1100">
        <v>1.0078296911976028</v>
      </c>
      <c r="I2013" s="1100">
        <v>0.96364544006728881</v>
      </c>
      <c r="K2013">
        <v>1.1175580793570907</v>
      </c>
      <c r="L2013">
        <v>0</v>
      </c>
      <c r="M2013">
        <v>7.9648560320754402E-4</v>
      </c>
      <c r="N2013">
        <v>7.3220106381013436E-2</v>
      </c>
      <c r="O2013">
        <v>1.0206619309632268E-2</v>
      </c>
      <c r="P2013">
        <v>1.3129892202163445E-2</v>
      </c>
      <c r="Q2013">
        <v>4.4305272214123249E-4</v>
      </c>
      <c r="R2013">
        <v>7.947352876246232E-4</v>
      </c>
      <c r="S2013">
        <v>6.9696307710220909E-2</v>
      </c>
      <c r="T2013">
        <v>0.80244611085901529</v>
      </c>
      <c r="U2013">
        <v>0</v>
      </c>
      <c r="V2013">
        <v>9.1172895095406964E-2</v>
      </c>
      <c r="W2013">
        <v>4.8110339712593736E-2</v>
      </c>
      <c r="X2013">
        <v>6.9714982119891238E-3</v>
      </c>
      <c r="Y2013">
        <v>2.1630074684970686E-3</v>
      </c>
    </row>
    <row r="2014" spans="1:25" x14ac:dyDescent="0.25">
      <c r="A2014" s="1096"/>
      <c r="B2014" s="1455">
        <v>1764</v>
      </c>
      <c r="C2014" s="1100">
        <v>1.02688248545563</v>
      </c>
      <c r="D2014" s="1100">
        <v>0.97918845588492098</v>
      </c>
      <c r="E2014" s="1100">
        <v>1.0150639615877424</v>
      </c>
      <c r="F2014" s="1100">
        <v>1.0088870445565647</v>
      </c>
      <c r="G2014" s="1100">
        <v>1.0042571048864373</v>
      </c>
      <c r="H2014" s="1100">
        <v>1.0029814156572476</v>
      </c>
      <c r="I2014" s="1100">
        <v>1.0136654709205726</v>
      </c>
      <c r="K2014">
        <v>1.1538729163400394</v>
      </c>
      <c r="L2014">
        <v>0</v>
      </c>
      <c r="M2014">
        <v>7.6444648279766351E-4</v>
      </c>
      <c r="N2014">
        <v>7.3619823240720972E-2</v>
      </c>
      <c r="O2014">
        <v>1.0168319387233836E-2</v>
      </c>
      <c r="P2014">
        <v>1.3765357762060712E-2</v>
      </c>
      <c r="Q2014">
        <v>4.4824933986608093E-4</v>
      </c>
      <c r="R2014">
        <v>7.6275845428254701E-4</v>
      </c>
      <c r="S2014">
        <v>7.2847308885379713E-2</v>
      </c>
      <c r="T2014">
        <v>0.83398589350931573</v>
      </c>
      <c r="U2014">
        <v>0</v>
      </c>
      <c r="V2014">
        <v>9.1631030338473307E-2</v>
      </c>
      <c r="W2014">
        <v>4.7934685901546585E-2</v>
      </c>
      <c r="X2014">
        <v>7.3979589346568203E-3</v>
      </c>
      <c r="Y2014">
        <v>2.0759770693002159E-3</v>
      </c>
    </row>
    <row r="2015" spans="1:25" x14ac:dyDescent="0.25">
      <c r="A2015" s="1096"/>
      <c r="B2015" s="1455">
        <v>1765</v>
      </c>
      <c r="C2015" s="1100">
        <v>1.0120485743121697</v>
      </c>
      <c r="D2015" s="1100">
        <v>1.0189595347928333</v>
      </c>
      <c r="E2015" s="1100">
        <v>1.0077962768191209</v>
      </c>
      <c r="F2015" s="1100">
        <v>1.006420322190605</v>
      </c>
      <c r="G2015" s="1100">
        <v>1.0001906297950622</v>
      </c>
      <c r="H2015" s="1100">
        <v>1.0028078881647324</v>
      </c>
      <c r="I2015" s="1100">
        <v>1.0305641085698871</v>
      </c>
      <c r="K2015">
        <v>1.1522377578097016</v>
      </c>
      <c r="L2015">
        <v>0</v>
      </c>
      <c r="M2015">
        <v>7.7487876987913495E-4</v>
      </c>
      <c r="N2015">
        <v>7.3005128489708943E-2</v>
      </c>
      <c r="O2015">
        <v>1.0152017252615506E-2</v>
      </c>
      <c r="P2015">
        <v>1.3683194557788598E-2</v>
      </c>
      <c r="Q2015">
        <v>4.4429368203378829E-4</v>
      </c>
      <c r="R2015">
        <v>7.7316740900534951E-4</v>
      </c>
      <c r="S2015">
        <v>7.3611728614079497E-2</v>
      </c>
      <c r="T2015">
        <v>0.83242833907484792</v>
      </c>
      <c r="U2015">
        <v>0</v>
      </c>
      <c r="V2015">
        <v>9.180992604752887E-2</v>
      </c>
      <c r="W2015">
        <v>4.7738371138140855E-2</v>
      </c>
      <c r="X2015">
        <v>7.2621635010866976E-3</v>
      </c>
      <c r="Y2015">
        <v>2.1043068127446826E-3</v>
      </c>
    </row>
    <row r="2016" spans="1:25" x14ac:dyDescent="0.25">
      <c r="A2016" s="1096"/>
      <c r="B2016" s="1455">
        <v>1766</v>
      </c>
      <c r="C2016" s="1100">
        <v>1.0316588158180608</v>
      </c>
      <c r="D2016" s="1100">
        <v>0.98952694107745187</v>
      </c>
      <c r="E2016" s="1100">
        <v>1.0395960745963395</v>
      </c>
      <c r="F2016" s="1100">
        <v>0.96562193684462416</v>
      </c>
      <c r="G2016" s="1100">
        <v>1.0409879531488684</v>
      </c>
      <c r="H2016" s="1100">
        <v>0.95697915864857874</v>
      </c>
      <c r="I2016" s="1100">
        <v>0.99671999222302987</v>
      </c>
      <c r="K2016">
        <v>1.109279713256397</v>
      </c>
      <c r="L2016">
        <v>0</v>
      </c>
      <c r="M2016">
        <v>6.8694948548590794E-4</v>
      </c>
      <c r="N2016">
        <v>7.1227929910054E-2</v>
      </c>
      <c r="O2016">
        <v>1.0086658939642185E-2</v>
      </c>
      <c r="P2016">
        <v>1.3458373236307775E-2</v>
      </c>
      <c r="Q2016">
        <v>4.5558257207081618E-4</v>
      </c>
      <c r="R2016">
        <v>6.85359665688516E-4</v>
      </c>
      <c r="S2016">
        <v>6.9125564632170552E-2</v>
      </c>
      <c r="T2016">
        <v>0.7966739206096356</v>
      </c>
      <c r="U2016">
        <v>0</v>
      </c>
      <c r="V2016">
        <v>9.3092535882761548E-2</v>
      </c>
      <c r="W2016">
        <v>4.5720172694665821E-2</v>
      </c>
      <c r="X2016">
        <v>7.5752415176341169E-3</v>
      </c>
      <c r="Y2016">
        <v>1.8653230812510661E-3</v>
      </c>
    </row>
    <row r="2017" spans="1:25" x14ac:dyDescent="0.25">
      <c r="A2017" s="1096"/>
      <c r="B2017" s="1455">
        <v>1767</v>
      </c>
      <c r="C2017" s="1100">
        <v>0.97814445501239278</v>
      </c>
      <c r="D2017" s="1100">
        <v>0.97488140224244269</v>
      </c>
      <c r="E2017" s="1100">
        <v>0.98235123371853683</v>
      </c>
      <c r="F2017" s="1100">
        <v>0.99119527886879266</v>
      </c>
      <c r="G2017" s="1100">
        <v>0.99392406040577286</v>
      </c>
      <c r="H2017" s="1100">
        <v>0.99131445902817217</v>
      </c>
      <c r="I2017" s="1100">
        <v>1.0233126286218102</v>
      </c>
      <c r="K2017">
        <v>1.1478426151006085</v>
      </c>
      <c r="L2017">
        <v>0</v>
      </c>
      <c r="M2017">
        <v>8.5037913680027527E-4</v>
      </c>
      <c r="N2017">
        <v>7.4186109319254803E-2</v>
      </c>
      <c r="O2017">
        <v>1.0682760878186197E-2</v>
      </c>
      <c r="P2017">
        <v>1.3328824827273942E-2</v>
      </c>
      <c r="Q2017">
        <v>4.5568311663573641E-4</v>
      </c>
      <c r="R2017">
        <v>8.4847925433791885E-4</v>
      </c>
      <c r="S2017">
        <v>7.6837661733545101E-2</v>
      </c>
      <c r="T2017">
        <v>0.82150920459319909</v>
      </c>
      <c r="U2017">
        <v>0</v>
      </c>
      <c r="V2017">
        <v>9.2386910358370891E-2</v>
      </c>
      <c r="W2017">
        <v>4.925274770474318E-2</v>
      </c>
      <c r="X2017">
        <v>6.8953316226638573E-3</v>
      </c>
      <c r="Y2017">
        <v>2.3092808291967936E-3</v>
      </c>
    </row>
    <row r="2018" spans="1:25" x14ac:dyDescent="0.25">
      <c r="A2018" s="1096"/>
      <c r="B2018" s="1455">
        <v>1768</v>
      </c>
      <c r="C2018" s="1100">
        <v>1.0066061947794509</v>
      </c>
      <c r="D2018" s="1100">
        <v>0.98877516279755817</v>
      </c>
      <c r="E2018" s="1100">
        <v>0.99402119640307651</v>
      </c>
      <c r="F2018" s="1100">
        <v>0.98937143980902675</v>
      </c>
      <c r="G2018" s="1100">
        <v>0.9818828110776654</v>
      </c>
      <c r="H2018" s="1100">
        <v>1.0334555324397636</v>
      </c>
      <c r="I2018" s="1100">
        <v>1.0042475694568316</v>
      </c>
      <c r="K2018">
        <v>1.143675201356084</v>
      </c>
      <c r="L2018">
        <v>0</v>
      </c>
      <c r="M2018">
        <v>8.3615054241581021E-4</v>
      </c>
      <c r="N2018">
        <v>7.5571762387907623E-2</v>
      </c>
      <c r="O2018">
        <v>1.0325917310399271E-2</v>
      </c>
      <c r="P2018">
        <v>1.3367000123936469E-2</v>
      </c>
      <c r="Q2018">
        <v>4.4569320122734006E-4</v>
      </c>
      <c r="R2018">
        <v>8.3435862389111617E-4</v>
      </c>
      <c r="S2018">
        <v>7.4474257654010154E-2</v>
      </c>
      <c r="T2018">
        <v>0.81922878345530292</v>
      </c>
      <c r="U2018">
        <v>0</v>
      </c>
      <c r="V2018">
        <v>9.1157521299817204E-2</v>
      </c>
      <c r="W2018">
        <v>4.982265706484286E-2</v>
      </c>
      <c r="X2018">
        <v>7.0125516491789585E-3</v>
      </c>
      <c r="Y2018">
        <v>2.2708491279851729E-3</v>
      </c>
    </row>
    <row r="2019" spans="1:25" x14ac:dyDescent="0.25">
      <c r="A2019" s="1096"/>
      <c r="B2019" s="1455">
        <v>1769</v>
      </c>
      <c r="C2019" s="1100">
        <v>1.0038834927283096</v>
      </c>
      <c r="D2019" s="1100">
        <v>0.99905372445629625</v>
      </c>
      <c r="E2019" s="1100">
        <v>0.97481778619727655</v>
      </c>
      <c r="F2019" s="1100">
        <v>0.96912751963102017</v>
      </c>
      <c r="G2019" s="1100">
        <v>1.008328738112555</v>
      </c>
      <c r="H2019" s="1100">
        <v>1.0344581950391878</v>
      </c>
      <c r="I2019" s="1100">
        <v>1.0065195918852476</v>
      </c>
      <c r="K2019">
        <v>1.1268378890393342</v>
      </c>
      <c r="L2019">
        <v>0</v>
      </c>
      <c r="M2019">
        <v>8.6964633877916115E-4</v>
      </c>
      <c r="N2019">
        <v>7.4163981888824462E-2</v>
      </c>
      <c r="O2019">
        <v>1.0304933308365936E-2</v>
      </c>
      <c r="P2019">
        <v>1.2982320023816179E-2</v>
      </c>
      <c r="Q2019">
        <v>4.362109944926959E-4</v>
      </c>
      <c r="R2019">
        <v>8.6778444326182896E-4</v>
      </c>
      <c r="S2019">
        <v>7.4468288105531799E-2</v>
      </c>
      <c r="T2019">
        <v>0.80370771215904147</v>
      </c>
      <c r="U2019">
        <v>0</v>
      </c>
      <c r="V2019">
        <v>9.2352546593280752E-2</v>
      </c>
      <c r="W2019">
        <v>4.946279796132351E-2</v>
      </c>
      <c r="X2019">
        <v>6.5991367106806005E-3</v>
      </c>
      <c r="Y2019">
        <v>2.3618231894938601E-3</v>
      </c>
    </row>
    <row r="2020" spans="1:25" x14ac:dyDescent="0.25">
      <c r="A2020" s="1096"/>
      <c r="B2020" s="1455">
        <v>1770</v>
      </c>
      <c r="C2020" s="1100">
        <v>1.0031311787693455</v>
      </c>
      <c r="D2020" s="1100">
        <v>1.0070803146504863</v>
      </c>
      <c r="E2020" s="1100">
        <v>0.99262635902259755</v>
      </c>
      <c r="F2020" s="1100">
        <v>0.96859102699448474</v>
      </c>
      <c r="G2020" s="1100">
        <v>1.0265470922387978</v>
      </c>
      <c r="H2020" s="1100">
        <v>1.0297512753825155</v>
      </c>
      <c r="I2020" s="1100">
        <v>0.98712609861639322</v>
      </c>
      <c r="K2020">
        <v>1.1252307685520226</v>
      </c>
      <c r="L2020">
        <v>0</v>
      </c>
      <c r="M2020">
        <v>8.3232992965989662E-4</v>
      </c>
      <c r="N2020">
        <v>7.4909374542754079E-2</v>
      </c>
      <c r="O2020">
        <v>1.0285484349723581E-2</v>
      </c>
      <c r="P2020">
        <v>1.3122902202636955E-2</v>
      </c>
      <c r="Q2020">
        <v>4.433237010855855E-4</v>
      </c>
      <c r="R2020">
        <v>8.3053978242911232E-4</v>
      </c>
      <c r="S2020">
        <v>7.2622867704494762E-2</v>
      </c>
      <c r="T2020">
        <v>0.80211172416626486</v>
      </c>
      <c r="U2020">
        <v>0</v>
      </c>
      <c r="V2020">
        <v>9.3152342922903253E-2</v>
      </c>
      <c r="W2020">
        <v>4.9427135954896284E-2</v>
      </c>
      <c r="X2020">
        <v>6.8969476540884445E-3</v>
      </c>
      <c r="Y2020">
        <v>2.2604555004063481E-3</v>
      </c>
    </row>
    <row r="2021" spans="1:25" x14ac:dyDescent="0.25">
      <c r="A2021" s="1096"/>
      <c r="B2021" s="1455">
        <v>1771</v>
      </c>
      <c r="C2021" s="1100">
        <v>0.98425485579972627</v>
      </c>
      <c r="D2021" s="1100">
        <v>0.99857909049987148</v>
      </c>
      <c r="E2021" s="1100">
        <v>0.97997716239936972</v>
      </c>
      <c r="F2021" s="1100">
        <v>1.010429742267521</v>
      </c>
      <c r="G2021" s="1100">
        <v>1.0299955676367605</v>
      </c>
      <c r="H2021" s="1100">
        <v>1.0096663486545521</v>
      </c>
      <c r="I2021" s="1100">
        <v>0.98049389564014333</v>
      </c>
      <c r="K2021">
        <v>1.1615955953875396</v>
      </c>
      <c r="L2021">
        <v>0</v>
      </c>
      <c r="M2021">
        <v>8.5671145517449219E-4</v>
      </c>
      <c r="N2021">
        <v>7.4206665996619708E-2</v>
      </c>
      <c r="O2021">
        <v>1.051414924586112E-2</v>
      </c>
      <c r="P2021">
        <v>1.3488141084350766E-2</v>
      </c>
      <c r="Q2021">
        <v>4.4741062505869868E-4</v>
      </c>
      <c r="R2021">
        <v>8.5483221507893906E-4</v>
      </c>
      <c r="S2021">
        <v>7.3008546872831204E-2</v>
      </c>
      <c r="T2021">
        <v>0.83761113167558199</v>
      </c>
      <c r="U2021">
        <v>0</v>
      </c>
      <c r="V2021">
        <v>9.3771963718346729E-2</v>
      </c>
      <c r="W2021">
        <v>4.9337005226608985E-2</v>
      </c>
      <c r="X2021">
        <v>6.8858886882944923E-3</v>
      </c>
      <c r="Y2021">
        <v>2.3265714940809055E-3</v>
      </c>
    </row>
    <row r="2022" spans="1:25" x14ac:dyDescent="0.25">
      <c r="A2022" s="1096"/>
      <c r="B2022" s="1455">
        <v>1772</v>
      </c>
      <c r="C2022" s="1100">
        <v>0.97638040346508703</v>
      </c>
      <c r="D2022" s="1100">
        <v>1.0281183199819413</v>
      </c>
      <c r="E2022" s="1100">
        <v>0.98369188017764353</v>
      </c>
      <c r="F2022" s="1100">
        <v>1.0214567925636964</v>
      </c>
      <c r="G2022" s="1100">
        <v>1.0300722381347931</v>
      </c>
      <c r="H2022" s="1100">
        <v>1.0236930684540539</v>
      </c>
      <c r="I2022" s="1100">
        <v>1.0225990579967241</v>
      </c>
      <c r="K2022">
        <v>1.1757884094651414</v>
      </c>
      <c r="L2022">
        <v>0</v>
      </c>
      <c r="M2022">
        <v>8.5884307676471251E-4</v>
      </c>
      <c r="N2022">
        <v>7.5234290440930551E-2</v>
      </c>
      <c r="O2022">
        <v>1.047729805141622E-2</v>
      </c>
      <c r="P2022">
        <v>1.369191854592056E-2</v>
      </c>
      <c r="Q2022">
        <v>4.4752728470730214E-4</v>
      </c>
      <c r="R2022">
        <v>8.5698497440719445E-4</v>
      </c>
      <c r="S2022">
        <v>7.6215273108943785E-2</v>
      </c>
      <c r="T2022">
        <v>0.84649873312551072</v>
      </c>
      <c r="U2022">
        <v>0</v>
      </c>
      <c r="V2022">
        <v>9.3978710267673141E-2</v>
      </c>
      <c r="W2022">
        <v>4.9908322351150045E-2</v>
      </c>
      <c r="X2022">
        <v>7.005763795930142E-3</v>
      </c>
      <c r="Y2022">
        <v>2.3324305953154943E-3</v>
      </c>
    </row>
    <row r="2023" spans="1:25" x14ac:dyDescent="0.25">
      <c r="A2023" s="1096"/>
      <c r="B2023" s="1455">
        <v>1773</v>
      </c>
      <c r="C2023" s="1100">
        <v>1.007900088791412</v>
      </c>
      <c r="D2023" s="1100">
        <v>1.0285231381287432</v>
      </c>
      <c r="E2023" s="1100">
        <v>0.97270599320218276</v>
      </c>
      <c r="F2023" s="1100">
        <v>1.0165441238785677</v>
      </c>
      <c r="G2023" s="1100">
        <v>0.98678618230068449</v>
      </c>
      <c r="H2023" s="1100">
        <v>1.0484416684175717</v>
      </c>
      <c r="I2023" s="1100">
        <v>1.0142527042934157</v>
      </c>
      <c r="K2023">
        <v>1.1650004854993765</v>
      </c>
      <c r="L2023">
        <v>0</v>
      </c>
      <c r="M2023">
        <v>8.7153391856752431E-4</v>
      </c>
      <c r="N2023">
        <v>7.3853462241799978E-2</v>
      </c>
      <c r="O2023">
        <v>1.0144532086661988E-2</v>
      </c>
      <c r="P2023">
        <v>1.3471168589667591E-2</v>
      </c>
      <c r="Q2023">
        <v>4.2849723020426642E-4</v>
      </c>
      <c r="R2023">
        <v>8.696928685024203E-4</v>
      </c>
      <c r="S2023">
        <v>7.4202984540503461E-2</v>
      </c>
      <c r="T2023">
        <v>0.84317475035453249</v>
      </c>
      <c r="U2023">
        <v>0</v>
      </c>
      <c r="V2023">
        <v>9.1332553457245086E-2</v>
      </c>
      <c r="W2023">
        <v>4.9318860918465365E-2</v>
      </c>
      <c r="X2023">
        <v>6.7084998364740538E-3</v>
      </c>
      <c r="Y2023">
        <v>2.3670172938865365E-3</v>
      </c>
    </row>
    <row r="2024" spans="1:25" x14ac:dyDescent="0.25">
      <c r="A2024" s="1096"/>
      <c r="B2024" s="1455">
        <v>1774</v>
      </c>
      <c r="C2024" s="1100">
        <v>1.0001235120800764</v>
      </c>
      <c r="D2024" s="1100">
        <v>0.97543618051573544</v>
      </c>
      <c r="E2024" s="1100">
        <v>0.97609111004911508</v>
      </c>
      <c r="F2024" s="1100">
        <v>0.9707731886229054</v>
      </c>
      <c r="G2024" s="1100">
        <v>1.0275809649390661</v>
      </c>
      <c r="H2024" s="1100">
        <v>0.9735474190250536</v>
      </c>
      <c r="I2024" s="1100">
        <v>0.99934258820524768</v>
      </c>
      <c r="K2024">
        <v>1.1216592669354732</v>
      </c>
      <c r="L2024">
        <v>0</v>
      </c>
      <c r="M2024">
        <v>8.2723682543132612E-4</v>
      </c>
      <c r="N2024">
        <v>7.081017445364772E-2</v>
      </c>
      <c r="O2024">
        <v>1.04435532928081E-2</v>
      </c>
      <c r="P2024">
        <v>1.2999758909291222E-2</v>
      </c>
      <c r="Q2024">
        <v>4.4265278318541136E-4</v>
      </c>
      <c r="R2024">
        <v>8.2535491769566126E-4</v>
      </c>
      <c r="S2024">
        <v>7.2630695456490188E-2</v>
      </c>
      <c r="T2024">
        <v>0.80498966480530121</v>
      </c>
      <c r="U2024">
        <v>0</v>
      </c>
      <c r="V2024">
        <v>9.3268874732211973E-2</v>
      </c>
      <c r="W2024">
        <v>4.7189588037442304E-2</v>
      </c>
      <c r="X2024">
        <v>6.6398423650372478E-3</v>
      </c>
      <c r="Y2024">
        <v>2.2463440077920937E-3</v>
      </c>
    </row>
    <row r="2025" spans="1:25" x14ac:dyDescent="0.25">
      <c r="A2025" s="1096"/>
      <c r="B2025" s="1455">
        <v>1775</v>
      </c>
      <c r="C2025" s="1100">
        <v>0.99293057037381005</v>
      </c>
      <c r="D2025" s="1100">
        <v>0.99188504371178376</v>
      </c>
      <c r="E2025" s="1100">
        <v>0.96866450110902469</v>
      </c>
      <c r="F2025" s="1100">
        <v>0.97837227571119201</v>
      </c>
      <c r="G2025" s="1100">
        <v>1.0241276513875925</v>
      </c>
      <c r="H2025" s="1100">
        <v>1.0229603065455881</v>
      </c>
      <c r="I2025" s="1100">
        <v>0.9796376047091484</v>
      </c>
      <c r="K2025">
        <v>1.13442312498877</v>
      </c>
      <c r="L2025">
        <v>0</v>
      </c>
      <c r="M2025">
        <v>8.8312552198248253E-4</v>
      </c>
      <c r="N2025">
        <v>7.392167987770927E-2</v>
      </c>
      <c r="O2025">
        <v>1.0446634879724222E-2</v>
      </c>
      <c r="P2025">
        <v>1.3022794287556082E-2</v>
      </c>
      <c r="Q2025">
        <v>4.3943956206589135E-4</v>
      </c>
      <c r="R2025">
        <v>8.8121351606756265E-4</v>
      </c>
      <c r="S2025">
        <v>7.3079181758885031E-2</v>
      </c>
      <c r="T2025">
        <v>0.81177855639514385</v>
      </c>
      <c r="U2025">
        <v>0</v>
      </c>
      <c r="V2025">
        <v>9.3299773300886471E-2</v>
      </c>
      <c r="W2025">
        <v>4.9485925439744977E-2</v>
      </c>
      <c r="X2025">
        <v>6.5526787941891235E-3</v>
      </c>
      <c r="Y2025">
        <v>2.3983726987784047E-3</v>
      </c>
    </row>
    <row r="2026" spans="1:25" x14ac:dyDescent="0.25">
      <c r="A2026" s="1096"/>
      <c r="B2026" s="1455">
        <v>1776</v>
      </c>
      <c r="C2026" s="1100">
        <v>1.0286146748738523</v>
      </c>
      <c r="D2026" s="1100">
        <v>1.0142028056429648</v>
      </c>
      <c r="E2026" s="1100">
        <v>0.99708585857252219</v>
      </c>
      <c r="F2026" s="1100">
        <v>1.0140035929935549</v>
      </c>
      <c r="G2026" s="1100">
        <v>0.9641847438515383</v>
      </c>
      <c r="H2026" s="1100">
        <v>1.0142336330946731</v>
      </c>
      <c r="I2026" s="1100">
        <v>0.99490016028002626</v>
      </c>
      <c r="K2026">
        <v>1.1525193215977447</v>
      </c>
      <c r="L2026">
        <v>0</v>
      </c>
      <c r="M2026">
        <v>7.8989206024946725E-4</v>
      </c>
      <c r="N2026">
        <v>7.2052257754793167E-2</v>
      </c>
      <c r="O2026">
        <v>1.000383893934762E-2</v>
      </c>
      <c r="P2026">
        <v>1.3601083736018649E-2</v>
      </c>
      <c r="Q2026">
        <v>4.3312695804159195E-4</v>
      </c>
      <c r="R2026">
        <v>7.8816719442179929E-4</v>
      </c>
      <c r="S2026">
        <v>7.0522685258282453E-2</v>
      </c>
      <c r="T2026">
        <v>0.83941875011389533</v>
      </c>
      <c r="U2026">
        <v>0</v>
      </c>
      <c r="V2026">
        <v>8.9874557137528011E-2</v>
      </c>
      <c r="W2026">
        <v>4.7415582691385634E-2</v>
      </c>
      <c r="X2026">
        <v>7.054032590308618E-3</v>
      </c>
      <c r="Y2026">
        <v>2.1451312839703245E-3</v>
      </c>
    </row>
    <row r="2027" spans="1:25" x14ac:dyDescent="0.25">
      <c r="A2027" s="1096"/>
      <c r="B2027" s="1455">
        <v>1777</v>
      </c>
      <c r="C2027" s="1100">
        <v>1.0014275693675196</v>
      </c>
      <c r="D2027" s="1100">
        <v>1.0242968210248389</v>
      </c>
      <c r="E2027" s="1100">
        <v>0.98351220223115954</v>
      </c>
      <c r="F2027" s="1100">
        <v>0.98198069063391002</v>
      </c>
      <c r="G2027" s="1100">
        <v>1.0163227528728096</v>
      </c>
      <c r="H2027" s="1100">
        <v>0.99517055978912117</v>
      </c>
      <c r="I2027" s="1100">
        <v>1.0320041734141385</v>
      </c>
      <c r="K2027">
        <v>1.1321255424184751</v>
      </c>
      <c r="L2027">
        <v>0</v>
      </c>
      <c r="M2027">
        <v>8.1554784547485247E-4</v>
      </c>
      <c r="N2027">
        <v>7.1398391341834136E-2</v>
      </c>
      <c r="O2027">
        <v>1.0230415111447386E-2</v>
      </c>
      <c r="P2027">
        <v>1.3202787043820852E-2</v>
      </c>
      <c r="Q2027">
        <v>4.369022908377099E-4</v>
      </c>
      <c r="R2027">
        <v>8.1373284182441178E-4</v>
      </c>
      <c r="S2027">
        <v>7.3951042925357924E-2</v>
      </c>
      <c r="T2027">
        <v>0.81379598639686301</v>
      </c>
      <c r="U2027">
        <v>0</v>
      </c>
      <c r="V2027">
        <v>9.2756022014676184E-2</v>
      </c>
      <c r="W2027">
        <v>4.7368818557947612E-2</v>
      </c>
      <c r="X2027">
        <v>6.7722791908531744E-3</v>
      </c>
      <c r="Y2027">
        <v>2.2147125484868356E-3</v>
      </c>
    </row>
    <row r="2028" spans="1:25" x14ac:dyDescent="0.25">
      <c r="A2028" s="1096"/>
      <c r="B2028" s="1455">
        <v>1778</v>
      </c>
      <c r="C2028" s="1100">
        <v>1.0217487525793785</v>
      </c>
      <c r="D2028" s="1100">
        <v>0.9867239364800503</v>
      </c>
      <c r="E2028" s="1100">
        <v>0.99539177696966719</v>
      </c>
      <c r="F2028" s="1100">
        <v>0.98831765592977761</v>
      </c>
      <c r="G2028" s="1100">
        <v>0.95728391795220025</v>
      </c>
      <c r="H2028" s="1100">
        <v>1.0082645192380297</v>
      </c>
      <c r="I2028" s="1100">
        <v>0.99657987710389118</v>
      </c>
      <c r="K2028">
        <v>1.1337090203295113</v>
      </c>
      <c r="L2028">
        <v>0</v>
      </c>
      <c r="M2028">
        <v>8.0206528465017564E-4</v>
      </c>
      <c r="N2028">
        <v>7.27881236600115E-2</v>
      </c>
      <c r="O2028">
        <v>1.0181779593905097E-2</v>
      </c>
      <c r="P2028">
        <v>1.3313200961178285E-2</v>
      </c>
      <c r="Q2028">
        <v>4.4007949454443835E-4</v>
      </c>
      <c r="R2028">
        <v>8.0030346758362279E-4</v>
      </c>
      <c r="S2028">
        <v>7.188443447023804E-2</v>
      </c>
      <c r="T2028">
        <v>0.81826630816039003</v>
      </c>
      <c r="U2028">
        <v>0</v>
      </c>
      <c r="V2028">
        <v>8.9741125997138876E-2</v>
      </c>
      <c r="W2028">
        <v>4.7948232325119473E-2</v>
      </c>
      <c r="X2028">
        <v>6.9693352652552294E-3</v>
      </c>
      <c r="Y2028">
        <v>2.1781622187954353E-3</v>
      </c>
    </row>
    <row r="2029" spans="1:25" x14ac:dyDescent="0.25">
      <c r="A2029" s="1096"/>
      <c r="B2029" s="1455">
        <v>1779</v>
      </c>
      <c r="C2029" s="1100">
        <v>1.0185115737898054</v>
      </c>
      <c r="D2029" s="1100">
        <v>0.97896250291381459</v>
      </c>
      <c r="E2029" s="1100">
        <v>1.0312334765547573</v>
      </c>
      <c r="F2029" s="1100">
        <v>1.024034248404218</v>
      </c>
      <c r="G2029" s="1100">
        <v>1.0281095301469654</v>
      </c>
      <c r="H2029" s="1100">
        <v>1.0056392284073092</v>
      </c>
      <c r="I2029" s="1100">
        <v>1.0245019908942321</v>
      </c>
      <c r="K2029">
        <v>1.1715987545311821</v>
      </c>
      <c r="L2029">
        <v>0</v>
      </c>
      <c r="M2029">
        <v>7.472626573938922E-4</v>
      </c>
      <c r="N2029">
        <v>7.5562004406720909E-2</v>
      </c>
      <c r="O2029">
        <v>1.025809578922602E-2</v>
      </c>
      <c r="P2029">
        <v>1.4126984969216261E-2</v>
      </c>
      <c r="Q2029">
        <v>4.5952208512960939E-4</v>
      </c>
      <c r="R2029">
        <v>7.4561693472350015E-4</v>
      </c>
      <c r="S2029">
        <v>7.4369165465570222E-2</v>
      </c>
      <c r="T2029">
        <v>0.84542336493859804</v>
      </c>
      <c r="U2029">
        <v>0</v>
      </c>
      <c r="V2029">
        <v>9.2851275608186387E-2</v>
      </c>
      <c r="W2029">
        <v>4.8737165768507063E-2</v>
      </c>
      <c r="X2029">
        <v>7.7834977189368687E-3</v>
      </c>
      <c r="Y2029">
        <v>2.0293235037608941E-3</v>
      </c>
    </row>
    <row r="2030" spans="1:25" x14ac:dyDescent="0.25">
      <c r="A2030" s="1096"/>
      <c r="B2030" s="1455">
        <v>1780</v>
      </c>
      <c r="C2030" s="1100">
        <v>0.99164477491526049</v>
      </c>
      <c r="D2030" s="1100">
        <v>0.97663460502296462</v>
      </c>
      <c r="E2030" s="1100">
        <v>0.96307098364913091</v>
      </c>
      <c r="F2030" s="1100">
        <v>1.0304217274022918</v>
      </c>
      <c r="G2030" s="1100">
        <v>1.0124733483140147</v>
      </c>
      <c r="H2030" s="1100">
        <v>1.0338866953507999</v>
      </c>
      <c r="I2030" s="1100">
        <v>1.0332458315269653</v>
      </c>
      <c r="K2030">
        <v>1.1853310041893945</v>
      </c>
      <c r="L2030">
        <v>0</v>
      </c>
      <c r="M2030">
        <v>9.0970952753079821E-4</v>
      </c>
      <c r="N2030">
        <v>7.4869409690930561E-2</v>
      </c>
      <c r="O2030">
        <v>1.0523358950049928E-2</v>
      </c>
      <c r="P2030">
        <v>1.3606799748048097E-2</v>
      </c>
      <c r="Q2030">
        <v>4.4013765316724013E-4</v>
      </c>
      <c r="R2030">
        <v>9.0776078091300914E-4</v>
      </c>
      <c r="S2030">
        <v>7.8253615147125102E-2</v>
      </c>
      <c r="T2030">
        <v>0.85535316033415743</v>
      </c>
      <c r="U2030">
        <v>0</v>
      </c>
      <c r="V2030">
        <v>9.2832966400152789E-2</v>
      </c>
      <c r="W2030">
        <v>5.029185488388184E-2</v>
      </c>
      <c r="X2030">
        <v>6.6910245261139218E-3</v>
      </c>
      <c r="Y2030">
        <v>2.4706256023842069E-3</v>
      </c>
    </row>
    <row r="2031" spans="1:25" x14ac:dyDescent="0.25">
      <c r="A2031" s="1096"/>
      <c r="B2031" s="1455">
        <v>1781</v>
      </c>
      <c r="C2031" s="1100">
        <v>1.0108863451307679</v>
      </c>
      <c r="D2031" s="1100">
        <v>0.98019006546245213</v>
      </c>
      <c r="E2031" s="1100">
        <v>0.99086781981217809</v>
      </c>
      <c r="F2031" s="1100">
        <v>0.99229994726145987</v>
      </c>
      <c r="G2031" s="1100">
        <v>1.0218594885237025</v>
      </c>
      <c r="H2031" s="1100">
        <v>0.98353454750338953</v>
      </c>
      <c r="I2031" s="1100">
        <v>1.0146034012624601</v>
      </c>
      <c r="K2031">
        <v>1.1400471498609406</v>
      </c>
      <c r="L2031">
        <v>0</v>
      </c>
      <c r="M2031">
        <v>8.0037197466263882E-4</v>
      </c>
      <c r="N2031">
        <v>7.1643990834314913E-2</v>
      </c>
      <c r="O2031">
        <v>1.0317097693394003E-2</v>
      </c>
      <c r="P2031">
        <v>1.3375461242670937E-2</v>
      </c>
      <c r="Q2031">
        <v>4.4389734516375582E-4</v>
      </c>
      <c r="R2031">
        <v>7.9856967155462197E-4</v>
      </c>
      <c r="S2031">
        <v>7.3200386079190716E-2</v>
      </c>
      <c r="T2031">
        <v>0.82186160068572778</v>
      </c>
      <c r="U2031">
        <v>0</v>
      </c>
      <c r="V2031">
        <v>9.276218208403518E-2</v>
      </c>
      <c r="W2031">
        <v>4.7322309338708915E-2</v>
      </c>
      <c r="X2031">
        <v>6.9485834632915791E-3</v>
      </c>
      <c r="Y2031">
        <v>2.173443397550203E-3</v>
      </c>
    </row>
    <row r="2032" spans="1:25" x14ac:dyDescent="0.25">
      <c r="A2032" s="1096"/>
      <c r="B2032" s="1455">
        <v>1782</v>
      </c>
      <c r="C2032" s="1100">
        <v>0.97213871183174883</v>
      </c>
      <c r="D2032" s="1100">
        <v>1.0365083811144653</v>
      </c>
      <c r="E2032" s="1100">
        <v>1.0065790678596993</v>
      </c>
      <c r="F2032" s="1100">
        <v>1.0056586757918031</v>
      </c>
      <c r="G2032" s="1100">
        <v>1.0127202769100041</v>
      </c>
      <c r="H2032" s="1100">
        <v>0.99441831501050126</v>
      </c>
      <c r="I2032" s="1100">
        <v>1.0284777165847252</v>
      </c>
      <c r="K2032">
        <v>1.1585362346476011</v>
      </c>
      <c r="L2032">
        <v>0</v>
      </c>
      <c r="M2032">
        <v>7.9650710653983588E-4</v>
      </c>
      <c r="N2032">
        <v>7.4766129485460686E-2</v>
      </c>
      <c r="O2032">
        <v>1.0496448559401001E-2</v>
      </c>
      <c r="P2032">
        <v>1.3709722928974813E-2</v>
      </c>
      <c r="Q2032">
        <v>4.5880792901889045E-4</v>
      </c>
      <c r="R2032">
        <v>7.94733137163563E-4</v>
      </c>
      <c r="S2032">
        <v>7.5454858741517208E-2</v>
      </c>
      <c r="T2032">
        <v>0.83187912364022343</v>
      </c>
      <c r="U2032">
        <v>0</v>
      </c>
      <c r="V2032">
        <v>9.3350796028156005E-2</v>
      </c>
      <c r="W2032">
        <v>4.8925079034996238E-2</v>
      </c>
      <c r="X2032">
        <v>7.3340406535764143E-3</v>
      </c>
      <c r="Y2032">
        <v>2.163001615650962E-3</v>
      </c>
    </row>
    <row r="2033" spans="1:25" x14ac:dyDescent="0.25">
      <c r="A2033" s="1096"/>
      <c r="B2033" s="1455">
        <v>1783</v>
      </c>
      <c r="C2033" s="1100">
        <v>0.99825839474059364</v>
      </c>
      <c r="D2033" s="1100">
        <v>0.99383809831150305</v>
      </c>
      <c r="E2033" s="1100">
        <v>0.99748792026238309</v>
      </c>
      <c r="F2033" s="1100">
        <v>1.0440961853834627</v>
      </c>
      <c r="G2033" s="1100">
        <v>1.0226013768211526</v>
      </c>
      <c r="H2033" s="1100">
        <v>1.0363604643473927</v>
      </c>
      <c r="I2033" s="1100">
        <v>0.9726148250088672</v>
      </c>
      <c r="K2033">
        <v>1.1913596032782332</v>
      </c>
      <c r="L2033">
        <v>0</v>
      </c>
      <c r="M2033">
        <v>8.3774518481996335E-4</v>
      </c>
      <c r="N2033">
        <v>7.6513792123432539E-2</v>
      </c>
      <c r="O2033">
        <v>1.0392155172222061E-2</v>
      </c>
      <c r="P2033">
        <v>1.4016847414796958E-2</v>
      </c>
      <c r="Q2033">
        <v>4.5012167727132002E-4</v>
      </c>
      <c r="R2033">
        <v>8.3595488123527971E-4</v>
      </c>
      <c r="S2033">
        <v>7.2661288523182502E-2</v>
      </c>
      <c r="T2033">
        <v>0.86430235773481867</v>
      </c>
      <c r="U2033">
        <v>0</v>
      </c>
      <c r="V2033">
        <v>9.3104851224383153E-2</v>
      </c>
      <c r="W2033">
        <v>5.0339537559833947E-2</v>
      </c>
      <c r="X2033">
        <v>7.3052485376049981E-3</v>
      </c>
      <c r="Y2033">
        <v>2.2751936142698923E-3</v>
      </c>
    </row>
    <row r="2034" spans="1:25" x14ac:dyDescent="0.25">
      <c r="A2034" s="1096"/>
      <c r="B2034" s="1455">
        <v>1784</v>
      </c>
      <c r="C2034" s="1100">
        <v>0.96997481883459546</v>
      </c>
      <c r="D2034" s="1100">
        <v>1.0037498966002065</v>
      </c>
      <c r="E2034" s="1100">
        <v>1.0053685543724904</v>
      </c>
      <c r="F2034" s="1100">
        <v>1.0014877356797383</v>
      </c>
      <c r="G2034" s="1100">
        <v>1.0112524896369086</v>
      </c>
      <c r="H2034" s="1100">
        <v>0.97870974532799482</v>
      </c>
      <c r="I2034" s="1100">
        <v>1.0210089259353232</v>
      </c>
      <c r="K2034">
        <v>1.1552436243521742</v>
      </c>
      <c r="L2034">
        <v>0</v>
      </c>
      <c r="M2034">
        <v>7.9783422603201752E-4</v>
      </c>
      <c r="N2034">
        <v>7.4614757563964226E-2</v>
      </c>
      <c r="O2034">
        <v>1.0655465884537448E-2</v>
      </c>
      <c r="P2034">
        <v>1.3653844614767461E-2</v>
      </c>
      <c r="Q2034">
        <v>4.6519418422551374E-4</v>
      </c>
      <c r="R2034">
        <v>7.960287807605923E-4</v>
      </c>
      <c r="S2034">
        <v>7.5648238059221037E-2</v>
      </c>
      <c r="T2034">
        <v>0.82850895553663828</v>
      </c>
      <c r="U2034">
        <v>0</v>
      </c>
      <c r="V2034">
        <v>9.334473492627185E-2</v>
      </c>
      <c r="W2034">
        <v>4.8861000899428242E-2</v>
      </c>
      <c r="X2034">
        <v>7.3267101979792217E-3</v>
      </c>
      <c r="Y2034">
        <v>2.1665279304132791E-3</v>
      </c>
    </row>
    <row r="2035" spans="1:25" x14ac:dyDescent="0.25">
      <c r="A2035" s="1096"/>
      <c r="B2035" s="1455">
        <v>1785</v>
      </c>
      <c r="C2035" s="1100">
        <v>1.0005447127333593</v>
      </c>
      <c r="D2035" s="1100">
        <v>0.97601400847062481</v>
      </c>
      <c r="E2035" s="1100">
        <v>1.0119967875762645</v>
      </c>
      <c r="F2035" s="1100">
        <v>0.96508387268785722</v>
      </c>
      <c r="G2035" s="1100">
        <v>1.0320484479658936</v>
      </c>
      <c r="H2035" s="1100">
        <v>0.98899373041394645</v>
      </c>
      <c r="I2035" s="1100">
        <v>1.0022957608275735</v>
      </c>
      <c r="K2035">
        <v>1.1213397466600141</v>
      </c>
      <c r="L2035">
        <v>0</v>
      </c>
      <c r="M2035">
        <v>7.795876019030028E-4</v>
      </c>
      <c r="N2035">
        <v>7.4383837278476E-2</v>
      </c>
      <c r="O2035">
        <v>1.0448533057318675E-2</v>
      </c>
      <c r="P2035">
        <v>1.327260247399774E-2</v>
      </c>
      <c r="Q2035">
        <v>4.5919464616332202E-4</v>
      </c>
      <c r="R2035">
        <v>7.7784179195781425E-4</v>
      </c>
      <c r="S2035">
        <v>7.3470327337413904E-2</v>
      </c>
      <c r="T2035">
        <v>0.79797113461724734</v>
      </c>
      <c r="U2035">
        <v>0</v>
      </c>
      <c r="V2035">
        <v>9.3453951463131069E-2</v>
      </c>
      <c r="W2035">
        <v>4.8519575839686468E-2</v>
      </c>
      <c r="X2035">
        <v>7.24530681429221E-3</v>
      </c>
      <c r="Y2035">
        <v>2.1170289422313654E-3</v>
      </c>
    </row>
    <row r="2036" spans="1:25" x14ac:dyDescent="0.25">
      <c r="A2036" s="1096"/>
      <c r="B2036" s="1455">
        <v>1786</v>
      </c>
      <c r="C2036" s="1100">
        <v>0.97897410068038937</v>
      </c>
      <c r="D2036" s="1100">
        <v>1.0279857252862794</v>
      </c>
      <c r="E2036" s="1100">
        <v>0.99714631081756544</v>
      </c>
      <c r="F2036" s="1100">
        <v>0.97596539692965589</v>
      </c>
      <c r="G2036" s="1100">
        <v>1.0258583190711827</v>
      </c>
      <c r="H2036" s="1100">
        <v>1.0240636524951767</v>
      </c>
      <c r="I2036" s="1100">
        <v>0.99939490123843122</v>
      </c>
      <c r="K2036">
        <v>1.1355506067711614</v>
      </c>
      <c r="L2036">
        <v>0</v>
      </c>
      <c r="M2036">
        <v>8.333719151005425E-4</v>
      </c>
      <c r="N2036">
        <v>7.6033882123252614E-2</v>
      </c>
      <c r="O2036">
        <v>1.0454520630140657E-2</v>
      </c>
      <c r="P2036">
        <v>1.3277646166655076E-2</v>
      </c>
      <c r="Q2036">
        <v>4.5266725579148133E-4</v>
      </c>
      <c r="R2036">
        <v>8.3156957192452032E-4</v>
      </c>
      <c r="S2036">
        <v>7.432471988205458E-2</v>
      </c>
      <c r="T2036">
        <v>0.80792582293159165</v>
      </c>
      <c r="U2036">
        <v>0</v>
      </c>
      <c r="V2036">
        <v>9.3733070886285033E-2</v>
      </c>
      <c r="W2036">
        <v>5.0033976890894977E-2</v>
      </c>
      <c r="X2036">
        <v>7.052844099727314E-3</v>
      </c>
      <c r="Y2036">
        <v>2.2632582479428327E-3</v>
      </c>
    </row>
    <row r="2037" spans="1:25" x14ac:dyDescent="0.25">
      <c r="A2037" s="1096"/>
      <c r="B2037" s="1455">
        <v>1787</v>
      </c>
      <c r="C2037" s="1100">
        <v>0.99777531319239032</v>
      </c>
      <c r="D2037" s="1100">
        <v>0.99601643167323228</v>
      </c>
      <c r="E2037" s="1100">
        <v>0.99109876717070478</v>
      </c>
      <c r="F2037" s="1100">
        <v>1.0023023200045877</v>
      </c>
      <c r="G2037" s="1100">
        <v>0.96103050197362616</v>
      </c>
      <c r="H2037" s="1100">
        <v>0.99051436650934155</v>
      </c>
      <c r="I2037" s="1100">
        <v>1.0098426688684885</v>
      </c>
      <c r="K2037">
        <v>1.1482384260237624</v>
      </c>
      <c r="L2037">
        <v>0</v>
      </c>
      <c r="M2037">
        <v>8.1104017458875867E-4</v>
      </c>
      <c r="N2037">
        <v>7.2650799312038133E-2</v>
      </c>
      <c r="O2037">
        <v>1.0385987709913154E-2</v>
      </c>
      <c r="P2037">
        <v>1.3462881410237763E-2</v>
      </c>
      <c r="Q2037">
        <v>4.4696563401314788E-4</v>
      </c>
      <c r="R2037">
        <v>8.092267179893144E-4</v>
      </c>
      <c r="S2037">
        <v>7.3496320275091592E-2</v>
      </c>
      <c r="T2037">
        <v>0.8301305641410166</v>
      </c>
      <c r="U2037">
        <v>0</v>
      </c>
      <c r="V2037">
        <v>9.0483322881842312E-2</v>
      </c>
      <c r="W2037">
        <v>4.798069326351867E-2</v>
      </c>
      <c r="X2037">
        <v>7.0002564878384388E-3</v>
      </c>
      <c r="Y2037">
        <v>2.2024483648510223E-3</v>
      </c>
    </row>
    <row r="2038" spans="1:25" x14ac:dyDescent="0.25">
      <c r="A2038" s="1096"/>
      <c r="B2038" s="1455">
        <v>1788</v>
      </c>
      <c r="C2038" s="1100">
        <v>0.99678310044450824</v>
      </c>
      <c r="D2038" s="1100">
        <v>1.0321685719417721</v>
      </c>
      <c r="E2038" s="1100">
        <v>0.98495180343532296</v>
      </c>
      <c r="F2038" s="1100">
        <v>1.0454292006323944</v>
      </c>
      <c r="G2038" s="1100">
        <v>0.97848265670919043</v>
      </c>
      <c r="H2038" s="1100">
        <v>1.0239121104615814</v>
      </c>
      <c r="I2038" s="1100">
        <v>1.0293522501876522</v>
      </c>
      <c r="K2038">
        <v>1.1889939617071443</v>
      </c>
      <c r="L2038">
        <v>0</v>
      </c>
      <c r="M2038">
        <v>8.3793414140735049E-4</v>
      </c>
      <c r="N2038">
        <v>7.3682973785952635E-2</v>
      </c>
      <c r="O2038">
        <v>1.0247122856949557E-2</v>
      </c>
      <c r="P2038">
        <v>1.3918500348530786E-2</v>
      </c>
      <c r="Q2038">
        <v>4.382550994793871E-4</v>
      </c>
      <c r="R2038">
        <v>8.3612166323874366E-4</v>
      </c>
      <c r="S2038">
        <v>7.500803223379085E-2</v>
      </c>
      <c r="T2038">
        <v>0.86627720736453184</v>
      </c>
      <c r="U2038">
        <v>0</v>
      </c>
      <c r="V2038">
        <v>9.1253327000361192E-2</v>
      </c>
      <c r="W2038">
        <v>4.8842177563623142E-2</v>
      </c>
      <c r="X2038">
        <v>7.0525303921882571E-3</v>
      </c>
      <c r="Y2038">
        <v>2.2756475399036504E-3</v>
      </c>
    </row>
    <row r="2039" spans="1:25" x14ac:dyDescent="0.25">
      <c r="A2039" s="1096"/>
      <c r="B2039" s="1455">
        <v>1789</v>
      </c>
      <c r="C2039" s="1100">
        <v>0.98785190268488732</v>
      </c>
      <c r="D2039" s="1100">
        <v>0.99928044122162063</v>
      </c>
      <c r="E2039" s="1100">
        <v>1.011095343145453</v>
      </c>
      <c r="F2039" s="1100">
        <v>0.98078840298423298</v>
      </c>
      <c r="G2039" s="1100">
        <v>1.0274716028283346</v>
      </c>
      <c r="H2039" s="1100">
        <v>0.99226067591284961</v>
      </c>
      <c r="I2039" s="1100">
        <v>1.0085070627823494</v>
      </c>
      <c r="K2039">
        <v>1.1361800066664285</v>
      </c>
      <c r="L2039">
        <v>0</v>
      </c>
      <c r="M2039">
        <v>7.8625389751532649E-4</v>
      </c>
      <c r="N2039">
        <v>7.4816587436861592E-2</v>
      </c>
      <c r="O2039">
        <v>1.0483228416589165E-2</v>
      </c>
      <c r="P2039">
        <v>1.3453492543931867E-2</v>
      </c>
      <c r="Q2039">
        <v>4.6030482393806852E-4</v>
      </c>
      <c r="R2039">
        <v>7.8449895615741844E-4</v>
      </c>
      <c r="S2039">
        <v>7.4108312490635528E-2</v>
      </c>
      <c r="T2039">
        <v>0.81101449035878115</v>
      </c>
      <c r="U2039">
        <v>0</v>
      </c>
      <c r="V2039">
        <v>9.3576501394171549E-2</v>
      </c>
      <c r="W2039">
        <v>4.882776937248854E-2</v>
      </c>
      <c r="X2039">
        <v>7.3059272217383684E-3</v>
      </c>
      <c r="Y2039">
        <v>2.1351475486490988E-3</v>
      </c>
    </row>
    <row r="2040" spans="1:25" x14ac:dyDescent="0.25">
      <c r="A2040" s="1096"/>
      <c r="B2040" s="1455">
        <v>1790</v>
      </c>
      <c r="C2040" s="1100">
        <v>0.99169068541254823</v>
      </c>
      <c r="D2040" s="1100">
        <v>1.0015092715966512</v>
      </c>
      <c r="E2040" s="1100">
        <v>1.0430244869105898</v>
      </c>
      <c r="F2040" s="1100">
        <v>1.0367216641445209</v>
      </c>
      <c r="G2040" s="1100">
        <v>0.97389760666767122</v>
      </c>
      <c r="H2040" s="1100">
        <v>1.0340782426204198</v>
      </c>
      <c r="I2040" s="1100">
        <v>0.98774425029422108</v>
      </c>
      <c r="K2040">
        <v>1.1868842895775225</v>
      </c>
      <c r="L2040">
        <v>0</v>
      </c>
      <c r="M2040">
        <v>7.6302161605531691E-4</v>
      </c>
      <c r="N2040">
        <v>7.9950699815550877E-2</v>
      </c>
      <c r="O2040">
        <v>1.0443920824267584E-2</v>
      </c>
      <c r="P2040">
        <v>1.4354850626720206E-2</v>
      </c>
      <c r="Q2040">
        <v>4.7331072794325977E-4</v>
      </c>
      <c r="R2040">
        <v>7.6138740170848221E-4</v>
      </c>
      <c r="S2040">
        <v>7.3950913593840165E-2</v>
      </c>
      <c r="T2040">
        <v>0.85510328039452699</v>
      </c>
      <c r="U2040">
        <v>0</v>
      </c>
      <c r="V2040">
        <v>9.1195372148204362E-2</v>
      </c>
      <c r="W2040">
        <v>5.1218062100701157E-2</v>
      </c>
      <c r="X2040">
        <v>8.1232680439535607E-3</v>
      </c>
      <c r="Y2040">
        <v>2.0722455161609706E-3</v>
      </c>
    </row>
    <row r="2041" spans="1:25" x14ac:dyDescent="0.25">
      <c r="A2041" s="1096"/>
      <c r="B2041" s="1455">
        <v>1791</v>
      </c>
      <c r="C2041" s="1100">
        <v>0.97023476623148897</v>
      </c>
      <c r="D2041" s="1100">
        <v>1.0042284668970833</v>
      </c>
      <c r="E2041" s="1100">
        <v>0.99119355592129976</v>
      </c>
      <c r="F2041" s="1100">
        <v>1.0034521891152359</v>
      </c>
      <c r="G2041" s="1100">
        <v>0.98478164634162946</v>
      </c>
      <c r="H2041" s="1100">
        <v>0.99074945637122336</v>
      </c>
      <c r="I2041" s="1100">
        <v>0.9954112941361839</v>
      </c>
      <c r="K2041">
        <v>1.1551112186961094</v>
      </c>
      <c r="L2041">
        <v>0</v>
      </c>
      <c r="M2041">
        <v>8.3136104254739115E-4</v>
      </c>
      <c r="N2041">
        <v>7.4492471426562873E-2</v>
      </c>
      <c r="O2041">
        <v>1.0645807692040597E-2</v>
      </c>
      <c r="P2041">
        <v>1.3509494227952461E-2</v>
      </c>
      <c r="Q2041">
        <v>4.5819097224329594E-4</v>
      </c>
      <c r="R2041">
        <v>8.2950259030685459E-4</v>
      </c>
      <c r="S2041">
        <v>7.419859015794221E-2</v>
      </c>
      <c r="T2041">
        <v>0.8310765886245044</v>
      </c>
      <c r="U2041">
        <v>0</v>
      </c>
      <c r="V2041">
        <v>9.2203855107674162E-2</v>
      </c>
      <c r="W2041">
        <v>4.9194195896822127E-2</v>
      </c>
      <c r="X2041">
        <v>7.0762504372483461E-3</v>
      </c>
      <c r="Y2041">
        <v>2.2576326053598528E-3</v>
      </c>
    </row>
    <row r="2042" spans="1:25" x14ac:dyDescent="0.25">
      <c r="A2042" s="1096"/>
      <c r="B2042" s="1455">
        <v>1792</v>
      </c>
      <c r="C2042" s="1100">
        <v>1.0080526658348234</v>
      </c>
      <c r="D2042" s="1100">
        <v>1.0397079654025507</v>
      </c>
      <c r="E2042" s="1100">
        <v>0.98160024476416841</v>
      </c>
      <c r="F2042" s="1100">
        <v>1.0110642800527914</v>
      </c>
      <c r="G2042" s="1100">
        <v>0.98113180464948346</v>
      </c>
      <c r="H2042" s="1100">
        <v>0.98063083383029082</v>
      </c>
      <c r="I2042" s="1100">
        <v>0.97100274386274499</v>
      </c>
      <c r="K2042">
        <v>1.1454441455981317</v>
      </c>
      <c r="L2042">
        <v>0</v>
      </c>
      <c r="M2042">
        <v>7.9674117636595201E-4</v>
      </c>
      <c r="N2042">
        <v>6.9347369120250871E-2</v>
      </c>
      <c r="O2042">
        <v>1.0102041705385277E-2</v>
      </c>
      <c r="P2042">
        <v>1.3407295203278645E-2</v>
      </c>
      <c r="Q2042">
        <v>4.3058356920330147E-4</v>
      </c>
      <c r="R2042">
        <v>7.9494173667433608E-4</v>
      </c>
      <c r="S2042">
        <v>6.803229617790317E-2</v>
      </c>
      <c r="T2042">
        <v>0.83802747634954178</v>
      </c>
      <c r="U2042">
        <v>0</v>
      </c>
      <c r="V2042">
        <v>9.10882378304365E-2</v>
      </c>
      <c r="W2042">
        <v>4.6061119314435579E-2</v>
      </c>
      <c r="X2042">
        <v>6.7859564126332116E-3</v>
      </c>
      <c r="Y2042">
        <v>2.1635693547544764E-3</v>
      </c>
    </row>
    <row r="2043" spans="1:25" x14ac:dyDescent="0.25">
      <c r="A2043" s="1096"/>
      <c r="B2043" s="1455">
        <v>1793</v>
      </c>
      <c r="C2043" s="1100">
        <v>1.0087260368685891</v>
      </c>
      <c r="D2043" s="1100">
        <v>0.98301906975060915</v>
      </c>
      <c r="E2043" s="1100">
        <v>1.0199709197495404</v>
      </c>
      <c r="F2043" s="1100">
        <v>1.0401721839572473</v>
      </c>
      <c r="G2043" s="1100">
        <v>0.96498507073414141</v>
      </c>
      <c r="H2043" s="1100">
        <v>1.0180361017070769</v>
      </c>
      <c r="I2043" s="1100">
        <v>0.98658228898142164</v>
      </c>
      <c r="K2043">
        <v>1.1831035029272818</v>
      </c>
      <c r="L2043">
        <v>0</v>
      </c>
      <c r="M2043">
        <v>7.8064623293654014E-4</v>
      </c>
      <c r="N2043">
        <v>7.6303822947967989E-2</v>
      </c>
      <c r="O2043">
        <v>1.0336796603332353E-2</v>
      </c>
      <c r="P2043">
        <v>1.4148184517578516E-2</v>
      </c>
      <c r="Q2043">
        <v>4.5790768751967429E-4</v>
      </c>
      <c r="R2043">
        <v>7.7894792410922902E-4</v>
      </c>
      <c r="S2043">
        <v>7.2641594210935717E-2</v>
      </c>
      <c r="T2043">
        <v>0.85951240861576561</v>
      </c>
      <c r="U2043">
        <v>0</v>
      </c>
      <c r="V2043">
        <v>9.0387800368197518E-2</v>
      </c>
      <c r="W2043">
        <v>4.9539565049397362E-2</v>
      </c>
      <c r="X2043">
        <v>7.6570817661029376E-3</v>
      </c>
      <c r="Y2043">
        <v>2.1200394693111496E-3</v>
      </c>
    </row>
    <row r="2044" spans="1:25" x14ac:dyDescent="0.25">
      <c r="A2044" s="1096"/>
      <c r="B2044" s="1455">
        <v>1794</v>
      </c>
      <c r="C2044" s="1100">
        <v>0.96748315084289738</v>
      </c>
      <c r="D2044" s="1100">
        <v>1.0362933273260018</v>
      </c>
      <c r="E2044" s="1100">
        <v>1.0236772552647306</v>
      </c>
      <c r="F2044" s="1100">
        <v>1.0197779850516457</v>
      </c>
      <c r="G2044" s="1100">
        <v>0.97831759091767556</v>
      </c>
      <c r="H2044" s="1100">
        <v>1.00586355997292</v>
      </c>
      <c r="I2044" s="1100">
        <v>0.97696469470286518</v>
      </c>
      <c r="K2044">
        <v>1.1690024136631945</v>
      </c>
      <c r="L2044">
        <v>0</v>
      </c>
      <c r="M2044">
        <v>7.8134284725558522E-4</v>
      </c>
      <c r="N2044">
        <v>7.7228482372026799E-2</v>
      </c>
      <c r="O2044">
        <v>1.055354891303488E-2</v>
      </c>
      <c r="P2044">
        <v>1.3970113750480517E-2</v>
      </c>
      <c r="Q2044">
        <v>4.6923359833216284E-4</v>
      </c>
      <c r="R2044">
        <v>7.7962245236649897E-4</v>
      </c>
      <c r="S2044">
        <v>7.2511764311137469E-2</v>
      </c>
      <c r="T2044">
        <v>0.84241276952693989</v>
      </c>
      <c r="U2044">
        <v>0</v>
      </c>
      <c r="V2044">
        <v>9.2006026635904542E-2</v>
      </c>
      <c r="W2044">
        <v>5.0031441507744766E-2</v>
      </c>
      <c r="X2044">
        <v>7.6988781296133974E-3</v>
      </c>
      <c r="Y2044">
        <v>2.1218753128692579E-3</v>
      </c>
    </row>
    <row r="2045" spans="1:25" x14ac:dyDescent="0.25">
      <c r="A2045" s="1096"/>
      <c r="B2045" s="1455">
        <v>1795</v>
      </c>
      <c r="C2045" s="1100">
        <v>0.97052234174272689</v>
      </c>
      <c r="D2045" s="1100">
        <v>0.99487822830540285</v>
      </c>
      <c r="E2045" s="1100">
        <v>0.9997420588547723</v>
      </c>
      <c r="F2045" s="1100">
        <v>0.99245117221320933</v>
      </c>
      <c r="G2045" s="1100">
        <v>0.99089819895250242</v>
      </c>
      <c r="H2045" s="1100">
        <v>1.040908928404396</v>
      </c>
      <c r="I2045" s="1100">
        <v>0.98314414256545946</v>
      </c>
      <c r="K2045">
        <v>1.1549689389826341</v>
      </c>
      <c r="L2045">
        <v>0</v>
      </c>
      <c r="M2045">
        <v>8.6107172866082009E-4</v>
      </c>
      <c r="N2045">
        <v>7.918248566392723E-2</v>
      </c>
      <c r="O2045">
        <v>1.0685437214578968E-2</v>
      </c>
      <c r="P2045">
        <v>1.3488461214285135E-2</v>
      </c>
      <c r="Q2045">
        <v>4.6387544875778222E-4</v>
      </c>
      <c r="R2045">
        <v>8.592396160057395E-4</v>
      </c>
      <c r="S2045">
        <v>7.569712744064834E-2</v>
      </c>
      <c r="T2045">
        <v>0.8214024303174412</v>
      </c>
      <c r="U2045">
        <v>0</v>
      </c>
      <c r="V2045">
        <v>9.2459224939386853E-2</v>
      </c>
      <c r="W2045">
        <v>5.2025486350485865E-2</v>
      </c>
      <c r="X2045">
        <v>7.2276755192730528E-3</v>
      </c>
      <c r="Y2045">
        <v>2.3385669865043312E-3</v>
      </c>
    </row>
    <row r="2046" spans="1:25" x14ac:dyDescent="0.25">
      <c r="A2046" s="1096"/>
      <c r="B2046" s="1455">
        <v>1796</v>
      </c>
      <c r="C2046" s="1100">
        <v>1.0089102387771858</v>
      </c>
      <c r="D2046" s="1100">
        <v>1.0038715647748626</v>
      </c>
      <c r="E2046" s="1100">
        <v>1.0307456076355941</v>
      </c>
      <c r="F2046" s="1100">
        <v>1.0216394738043308</v>
      </c>
      <c r="G2046" s="1100">
        <v>0.97674653492938701</v>
      </c>
      <c r="H2046" s="1100">
        <v>0.96949262756966281</v>
      </c>
      <c r="I2046" s="1100">
        <v>1.0068434047088997</v>
      </c>
      <c r="K2046">
        <v>1.1598474201407794</v>
      </c>
      <c r="L2046">
        <v>0</v>
      </c>
      <c r="M2046">
        <v>7.2071864802707749E-4</v>
      </c>
      <c r="N2046">
        <v>7.2764831895921894E-2</v>
      </c>
      <c r="O2046">
        <v>1.0252000662805084E-2</v>
      </c>
      <c r="P2046">
        <v>1.402561682885424E-2</v>
      </c>
      <c r="Q2046">
        <v>4.5902770091417889E-4</v>
      </c>
      <c r="R2046">
        <v>7.1907220454844238E-4</v>
      </c>
      <c r="S2046">
        <v>7.1370939509183343E-2</v>
      </c>
      <c r="T2046">
        <v>0.84347878175602575</v>
      </c>
      <c r="U2046">
        <v>0</v>
      </c>
      <c r="V2046">
        <v>9.0887948448759526E-2</v>
      </c>
      <c r="W2046">
        <v>4.6946284410844398E-2</v>
      </c>
      <c r="X2046">
        <v>7.706557872255322E-3</v>
      </c>
      <c r="Y2046">
        <v>1.9570774986923368E-3</v>
      </c>
    </row>
    <row r="2047" spans="1:25" x14ac:dyDescent="0.25">
      <c r="A2047" s="1096"/>
      <c r="B2047" s="1455">
        <v>1797</v>
      </c>
      <c r="C2047" s="1100">
        <v>1.0136160871955158</v>
      </c>
      <c r="D2047" s="1100">
        <v>1.0034738525315252</v>
      </c>
      <c r="E2047" s="1100">
        <v>0.9923214850500427</v>
      </c>
      <c r="F2047" s="1100">
        <v>1.0065346874476722</v>
      </c>
      <c r="G2047" s="1100">
        <v>0.98995042010182577</v>
      </c>
      <c r="H2047" s="1100">
        <v>0.9814342236547049</v>
      </c>
      <c r="I2047" s="1100">
        <v>1.0192935772218721</v>
      </c>
      <c r="K2047">
        <v>1.1479437637855199</v>
      </c>
      <c r="L2047">
        <v>0</v>
      </c>
      <c r="M2047">
        <v>7.8669456672101766E-4</v>
      </c>
      <c r="N2047">
        <v>7.0729482065354718E-2</v>
      </c>
      <c r="O2047">
        <v>1.0193610082996881E-2</v>
      </c>
      <c r="P2047">
        <v>1.3517977841294543E-2</v>
      </c>
      <c r="Q2047">
        <v>4.3922856144513399E-4</v>
      </c>
      <c r="R2047">
        <v>7.8491927171900518E-4</v>
      </c>
      <c r="S2047">
        <v>7.2375900819456829E-2</v>
      </c>
      <c r="T2047">
        <v>0.83355410221017612</v>
      </c>
      <c r="U2047">
        <v>0</v>
      </c>
      <c r="V2047">
        <v>9.1331971969246611E-2</v>
      </c>
      <c r="W2047">
        <v>4.6677642845270678E-2</v>
      </c>
      <c r="X2047">
        <v>6.9893311762298307E-3</v>
      </c>
      <c r="Y2047">
        <v>2.1362915090507497E-3</v>
      </c>
    </row>
    <row r="2048" spans="1:25" x14ac:dyDescent="0.25">
      <c r="A2048" s="1096"/>
      <c r="B2048" s="1455">
        <v>1798</v>
      </c>
      <c r="C2048" s="1100">
        <v>1.0013114545682942</v>
      </c>
      <c r="D2048" s="1100">
        <v>0.95469817862108131</v>
      </c>
      <c r="E2048" s="1100">
        <v>0.99976090568972142</v>
      </c>
      <c r="F2048" s="1100">
        <v>1.010387319296566</v>
      </c>
      <c r="G2048" s="1100">
        <v>0.98961974699585253</v>
      </c>
      <c r="H2048" s="1100">
        <v>1.0416305099374776</v>
      </c>
      <c r="I2048" s="1100">
        <v>1.0006977347828163</v>
      </c>
      <c r="K2048">
        <v>1.1677837753542144</v>
      </c>
      <c r="L2048">
        <v>0</v>
      </c>
      <c r="M2048">
        <v>8.4902640547064535E-4</v>
      </c>
      <c r="N2048">
        <v>7.8079382257628421E-2</v>
      </c>
      <c r="O2048">
        <v>1.0529080399947351E-2</v>
      </c>
      <c r="P2048">
        <v>1.3687724891215116E-2</v>
      </c>
      <c r="Q2048">
        <v>4.5709635826562804E-4</v>
      </c>
      <c r="R2048">
        <v>8.4722117322202017E-4</v>
      </c>
      <c r="S2048">
        <v>7.6300845608666318E-2</v>
      </c>
      <c r="T2048">
        <v>0.83624602552010019</v>
      </c>
      <c r="U2048">
        <v>0</v>
      </c>
      <c r="V2048">
        <v>9.1619383544578367E-2</v>
      </c>
      <c r="W2048">
        <v>5.1300136529501925E-2</v>
      </c>
      <c r="X2048">
        <v>7.260048729432843E-3</v>
      </c>
      <c r="Y2048">
        <v>2.3058567471256463E-3</v>
      </c>
    </row>
    <row r="2049" spans="1:25" x14ac:dyDescent="0.25">
      <c r="A2049" s="1096"/>
      <c r="B2049" s="1455">
        <v>1799</v>
      </c>
      <c r="C2049" s="1100">
        <v>1.0075098355821606</v>
      </c>
      <c r="D2049" s="1100">
        <v>1.0091972318821505</v>
      </c>
      <c r="E2049" s="1100">
        <v>0.98783905196523603</v>
      </c>
      <c r="F2049" s="1100">
        <v>0.98447844067079493</v>
      </c>
      <c r="G2049" s="1100">
        <v>0.98096095177923492</v>
      </c>
      <c r="H2049" s="1100">
        <v>0.97267126524157299</v>
      </c>
      <c r="I2049" s="1100">
        <v>1.018201855312554</v>
      </c>
      <c r="K2049">
        <v>1.1281270578863736</v>
      </c>
      <c r="L2049">
        <v>0</v>
      </c>
      <c r="M2049">
        <v>7.8991257918642347E-4</v>
      </c>
      <c r="N2049">
        <v>7.0061403233806094E-2</v>
      </c>
      <c r="O2049">
        <v>1.0230638376957004E-2</v>
      </c>
      <c r="P2049">
        <v>1.322352473778726E-2</v>
      </c>
      <c r="Q2049">
        <v>4.3883142824145146E-4</v>
      </c>
      <c r="R2049">
        <v>7.8811396289958549E-4</v>
      </c>
      <c r="S2049">
        <v>7.2159958739534291E-2</v>
      </c>
      <c r="T2049">
        <v>0.81558195751977836</v>
      </c>
      <c r="U2049">
        <v>0</v>
      </c>
      <c r="V2049">
        <v>9.1095088387898912E-2</v>
      </c>
      <c r="W2049">
        <v>4.6361063105873464E-2</v>
      </c>
      <c r="X2049">
        <v>6.8314045674690059E-3</v>
      </c>
      <c r="Y2049">
        <v>2.1449864053146249E-3</v>
      </c>
    </row>
    <row r="2050" spans="1:25" x14ac:dyDescent="0.25">
      <c r="A2050" s="1096"/>
      <c r="B2050" s="1455">
        <v>1800</v>
      </c>
      <c r="C2050" s="1100">
        <v>0.99831065632928362</v>
      </c>
      <c r="D2050" s="1100">
        <v>1.0326611236169114</v>
      </c>
      <c r="E2050" s="1100">
        <v>0.97662291956379554</v>
      </c>
      <c r="F2050" s="1100">
        <v>0.96075680605082603</v>
      </c>
      <c r="G2050" s="1100">
        <v>0.96997634473784211</v>
      </c>
      <c r="H2050" s="1100">
        <v>1.0034895322345618</v>
      </c>
      <c r="I2050" s="1100">
        <v>0.96773126238209384</v>
      </c>
      <c r="K2050">
        <v>1.1085345867203846</v>
      </c>
      <c r="L2050">
        <v>0</v>
      </c>
      <c r="M2050">
        <v>8.340510593599983E-4</v>
      </c>
      <c r="N2050">
        <v>7.1513327944937352E-2</v>
      </c>
      <c r="O2050">
        <v>1.0226803526427306E-2</v>
      </c>
      <c r="P2050">
        <v>1.2820129722483638E-2</v>
      </c>
      <c r="Q2050">
        <v>4.3370062724978886E-4</v>
      </c>
      <c r="R2050">
        <v>8.3221026459901382E-4</v>
      </c>
      <c r="S2050">
        <v>6.9588444416124454E-2</v>
      </c>
      <c r="T2050">
        <v>0.79664960965941178</v>
      </c>
      <c r="U2050">
        <v>0</v>
      </c>
      <c r="V2050">
        <v>9.0850250180152817E-2</v>
      </c>
      <c r="W2050">
        <v>4.7642840534438222E-2</v>
      </c>
      <c r="X2050">
        <v>6.5463189017217812E-3</v>
      </c>
      <c r="Y2050">
        <v>2.2650020021985208E-3</v>
      </c>
    </row>
    <row r="2051" spans="1:25" x14ac:dyDescent="0.25">
      <c r="A2051" s="1096"/>
      <c r="B2051" s="1455">
        <v>1801</v>
      </c>
      <c r="C2051" s="1100">
        <v>0.98785405742162813</v>
      </c>
      <c r="D2051" s="1100">
        <v>0.9917204572867504</v>
      </c>
      <c r="E2051" s="1100">
        <v>0.96378425545364332</v>
      </c>
      <c r="F2051" s="1100">
        <v>1.0076785360462877</v>
      </c>
      <c r="G2051" s="1100">
        <v>1.0007890799264485</v>
      </c>
      <c r="H2051" s="1100">
        <v>1.0448697732452346</v>
      </c>
      <c r="I2051" s="1100">
        <v>1.0072417360507344</v>
      </c>
      <c r="K2051">
        <v>1.1649196686835157</v>
      </c>
      <c r="L2051">
        <v>0</v>
      </c>
      <c r="M2051">
        <v>9.1591171062991553E-4</v>
      </c>
      <c r="N2051">
        <v>7.5544609446091163E-2</v>
      </c>
      <c r="O2051">
        <v>1.0499403056611322E-2</v>
      </c>
      <c r="P2051">
        <v>1.3333807141505985E-2</v>
      </c>
      <c r="Q2051">
        <v>4.3945713471879073E-4</v>
      </c>
      <c r="R2051">
        <v>9.1397030169538466E-4</v>
      </c>
      <c r="S2051">
        <v>7.6436380221132694E-2</v>
      </c>
      <c r="T2051">
        <v>0.8364256006506896</v>
      </c>
      <c r="U2051">
        <v>0</v>
      </c>
      <c r="V2051">
        <v>9.2429074819958129E-2</v>
      </c>
      <c r="W2051">
        <v>5.0723265074307494E-2</v>
      </c>
      <c r="X2051">
        <v>6.6024866764471937E-3</v>
      </c>
      <c r="Y2051">
        <v>2.4875258709858563E-3</v>
      </c>
    </row>
    <row r="2052" spans="1:25" x14ac:dyDescent="0.25">
      <c r="A2052" s="1096"/>
      <c r="B2052" s="1455">
        <v>1802</v>
      </c>
      <c r="C2052" s="1100">
        <v>0.9553422781594304</v>
      </c>
      <c r="D2052" s="1100">
        <v>0.96829384314808731</v>
      </c>
      <c r="E2052" s="1100">
        <v>1.0035646655727188</v>
      </c>
      <c r="F2052" s="1100">
        <v>1.0119383253815828</v>
      </c>
      <c r="G2052" s="1100">
        <v>0.97132309113914939</v>
      </c>
      <c r="H2052" s="1100">
        <v>1.0010944660394476</v>
      </c>
      <c r="I2052" s="1100">
        <v>1.0286640807366578</v>
      </c>
      <c r="K2052">
        <v>1.1740333124121081</v>
      </c>
      <c r="L2052">
        <v>0</v>
      </c>
      <c r="M2052">
        <v>8.4374028359255357E-4</v>
      </c>
      <c r="N2052">
        <v>7.8483213527871382E-2</v>
      </c>
      <c r="O2052">
        <v>1.0974795908343122E-2</v>
      </c>
      <c r="P2052">
        <v>1.3794437078610984E-2</v>
      </c>
      <c r="Q2052">
        <v>4.7826957367760057E-4</v>
      </c>
      <c r="R2052">
        <v>8.4187364903480976E-4</v>
      </c>
      <c r="S2052">
        <v>7.9820619871121781E-2</v>
      </c>
      <c r="T2052">
        <v>0.8372750880508828</v>
      </c>
      <c r="U2052">
        <v>0</v>
      </c>
      <c r="V2052">
        <v>9.2028790948517514E-2</v>
      </c>
      <c r="W2052">
        <v>5.1449171669076296E-2</v>
      </c>
      <c r="X2052">
        <v>7.439489869466037E-3</v>
      </c>
      <c r="Y2052">
        <v>2.2913025490989337E-3</v>
      </c>
    </row>
    <row r="2053" spans="1:25" x14ac:dyDescent="0.25">
      <c r="A2053" s="1096"/>
      <c r="B2053" s="1455">
        <v>1803</v>
      </c>
      <c r="C2053" s="1100">
        <v>0.98245182363567118</v>
      </c>
      <c r="D2053" s="1100">
        <v>1.0047797066323314</v>
      </c>
      <c r="E2053" s="1100">
        <v>1.0203021899104054</v>
      </c>
      <c r="F2053" s="1100">
        <v>1.0002402271843251</v>
      </c>
      <c r="G2053" s="1100">
        <v>0.97709217980955176</v>
      </c>
      <c r="H2053" s="1100">
        <v>0.97372521084929542</v>
      </c>
      <c r="I2053" s="1100">
        <v>0.9974315240770375</v>
      </c>
      <c r="K2053">
        <v>1.1476017773031864</v>
      </c>
      <c r="L2053">
        <v>0</v>
      </c>
      <c r="M2053">
        <v>7.5942791653157234E-4</v>
      </c>
      <c r="N2053">
        <v>7.4296697947721341E-2</v>
      </c>
      <c r="O2053">
        <v>1.0520804113521895E-2</v>
      </c>
      <c r="P2053">
        <v>1.3712324020543882E-2</v>
      </c>
      <c r="Q2053">
        <v>4.662125005063134E-4</v>
      </c>
      <c r="R2053">
        <v>7.5770058491975763E-4</v>
      </c>
      <c r="S2053">
        <v>7.2736360877417763E-2</v>
      </c>
      <c r="T2053">
        <v>0.82649421589891681</v>
      </c>
      <c r="U2053">
        <v>0</v>
      </c>
      <c r="V2053">
        <v>9.1562585946874012E-2</v>
      </c>
      <c r="W2053">
        <v>4.8227110517118268E-2</v>
      </c>
      <c r="X2053">
        <v>7.5249815959549087E-3</v>
      </c>
      <c r="Y2053">
        <v>2.0622112162208901E-3</v>
      </c>
    </row>
    <row r="2054" spans="1:25" x14ac:dyDescent="0.25">
      <c r="A2054" s="1096"/>
      <c r="B2054" s="1455">
        <v>1804</v>
      </c>
      <c r="C2054" s="1100">
        <v>0.99647139071351321</v>
      </c>
      <c r="D2054" s="1100">
        <v>1.0210040215665446</v>
      </c>
      <c r="E2054" s="1100">
        <v>0.97785116664372573</v>
      </c>
      <c r="F2054" s="1100">
        <v>0.98895167622946201</v>
      </c>
      <c r="G2054" s="1100">
        <v>0.97947818402359255</v>
      </c>
      <c r="H2054" s="1100">
        <v>1.0203694851303549</v>
      </c>
      <c r="I2054" s="1100">
        <v>0.97866518573829309</v>
      </c>
      <c r="K2054">
        <v>1.1378059355784875</v>
      </c>
      <c r="L2054">
        <v>0</v>
      </c>
      <c r="M2054">
        <v>8.5134926230721203E-4</v>
      </c>
      <c r="N2054">
        <v>7.3271027952776027E-2</v>
      </c>
      <c r="O2054">
        <v>1.0292710433979991E-2</v>
      </c>
      <c r="P2054">
        <v>1.3177321443217441E-2</v>
      </c>
      <c r="Q2054">
        <v>4.3704171832097973E-4</v>
      </c>
      <c r="R2054">
        <v>8.4950137330952664E-4</v>
      </c>
      <c r="S2054">
        <v>7.1585959401630553E-2</v>
      </c>
      <c r="T2054">
        <v>0.81994719230819557</v>
      </c>
      <c r="U2054">
        <v>0</v>
      </c>
      <c r="V2054">
        <v>9.1302613366419483E-2</v>
      </c>
      <c r="W2054">
        <v>4.8777568120340113E-2</v>
      </c>
      <c r="X2054">
        <v>6.7042860225078353E-3</v>
      </c>
      <c r="Y2054">
        <v>2.3120627000960819E-3</v>
      </c>
    </row>
    <row r="2055" spans="1:25" x14ac:dyDescent="0.25">
      <c r="A2055" s="1096"/>
      <c r="B2055" s="1455">
        <v>1805</v>
      </c>
      <c r="C2055" s="1100">
        <v>1.0185377247851772</v>
      </c>
      <c r="D2055" s="1100">
        <v>1.013156844734709</v>
      </c>
      <c r="E2055" s="1100">
        <v>0.98472176306371961</v>
      </c>
      <c r="F2055" s="1100">
        <v>1.0001504004241548</v>
      </c>
      <c r="G2055" s="1100">
        <v>1.0304170783084314</v>
      </c>
      <c r="H2055" s="1100">
        <v>1.0148043955294794</v>
      </c>
      <c r="I2055" s="1100">
        <v>0.96634466412894637</v>
      </c>
      <c r="K2055">
        <v>1.1435773348052185</v>
      </c>
      <c r="L2055">
        <v>0</v>
      </c>
      <c r="M2055">
        <v>8.1919900144594737E-4</v>
      </c>
      <c r="N2055">
        <v>7.1984012701337266E-2</v>
      </c>
      <c r="O2055">
        <v>1.0103036368622472E-2</v>
      </c>
      <c r="P2055">
        <v>1.335541699818581E-2</v>
      </c>
      <c r="Q2055">
        <v>4.3199197649018516E-4</v>
      </c>
      <c r="R2055">
        <v>8.1741114496773268E-4</v>
      </c>
      <c r="S2055">
        <v>6.922093733699218E-2</v>
      </c>
      <c r="T2055">
        <v>0.8287730411607519</v>
      </c>
      <c r="U2055">
        <v>0</v>
      </c>
      <c r="V2055">
        <v>9.2943266437009966E-2</v>
      </c>
      <c r="W2055">
        <v>4.772259154088529E-2</v>
      </c>
      <c r="X2055">
        <v>6.8201044643307852E-3</v>
      </c>
      <c r="Y2055">
        <v>2.2247236770906492E-3</v>
      </c>
    </row>
    <row r="2056" spans="1:25" x14ac:dyDescent="0.25">
      <c r="A2056" s="1096"/>
      <c r="B2056" s="1455">
        <v>1806</v>
      </c>
      <c r="C2056" s="1100">
        <v>0.99676648132608969</v>
      </c>
      <c r="D2056" s="1100">
        <v>1.0365626584710761</v>
      </c>
      <c r="E2056" s="1100">
        <v>0.9908656455277548</v>
      </c>
      <c r="F2056" s="1100">
        <v>0.98413046942786198</v>
      </c>
      <c r="G2056" s="1100">
        <v>0.95996844509058155</v>
      </c>
      <c r="H2056" s="1100">
        <v>1.0025834484487592</v>
      </c>
      <c r="I2056" s="1100">
        <v>0.95244914131682257</v>
      </c>
      <c r="K2056">
        <v>1.1272031417338391</v>
      </c>
      <c r="L2056">
        <v>0</v>
      </c>
      <c r="M2056">
        <v>8.0913230306364542E-4</v>
      </c>
      <c r="N2056">
        <v>7.2430787002140576E-2</v>
      </c>
      <c r="O2056">
        <v>1.023180636735335E-2</v>
      </c>
      <c r="P2056">
        <v>1.3188225647360682E-2</v>
      </c>
      <c r="Q2056">
        <v>4.4022668398135885E-4</v>
      </c>
      <c r="R2056">
        <v>8.0734489140164118E-4</v>
      </c>
      <c r="S2056">
        <v>6.8444233573948993E-2</v>
      </c>
      <c r="T2056">
        <v>0.81509546213363437</v>
      </c>
      <c r="U2056">
        <v>0</v>
      </c>
      <c r="V2056">
        <v>9.0463006029959159E-2</v>
      </c>
      <c r="W2056">
        <v>4.7842066441666255E-2</v>
      </c>
      <c r="X2056">
        <v>6.8717886122323935E-3</v>
      </c>
      <c r="Y2056">
        <v>2.1973266532233438E-3</v>
      </c>
    </row>
    <row r="2057" spans="1:25" x14ac:dyDescent="0.25">
      <c r="A2057" s="1096"/>
      <c r="B2057" s="1455">
        <v>1807</v>
      </c>
      <c r="C2057" s="1100">
        <v>1.0176896364616181</v>
      </c>
      <c r="D2057" s="1100">
        <v>1.0319632441280855</v>
      </c>
      <c r="E2057" s="1100">
        <v>1.0082060037014573</v>
      </c>
      <c r="F2057" s="1100">
        <v>1.0156206692472487</v>
      </c>
      <c r="G2057" s="1100">
        <v>1.0350195162775051</v>
      </c>
      <c r="H2057" s="1100">
        <v>1.0358353857408849</v>
      </c>
      <c r="I2057" s="1100">
        <v>1.0047407866323927</v>
      </c>
      <c r="K2057">
        <v>1.1625582495091888</v>
      </c>
      <c r="L2057">
        <v>0</v>
      </c>
      <c r="M2057">
        <v>7.9126196498909202E-4</v>
      </c>
      <c r="N2057">
        <v>7.4646222116241015E-2</v>
      </c>
      <c r="O2057">
        <v>1.0044794796214937E-2</v>
      </c>
      <c r="P2057">
        <v>1.3790772023841468E-2</v>
      </c>
      <c r="Q2057">
        <v>4.3978147714803748E-4</v>
      </c>
      <c r="R2057">
        <v>7.8957014120926831E-4</v>
      </c>
      <c r="S2057">
        <v>7.2217716207277918E-2</v>
      </c>
      <c r="T2057">
        <v>0.84001066977549355</v>
      </c>
      <c r="U2057">
        <v>0</v>
      </c>
      <c r="V2057">
        <v>9.3163097578095516E-2</v>
      </c>
      <c r="W2057">
        <v>4.8799679081702463E-2</v>
      </c>
      <c r="X2057">
        <v>7.2982586343083673E-3</v>
      </c>
      <c r="Y2057">
        <v>2.1489496426445307E-3</v>
      </c>
    </row>
    <row r="2058" spans="1:25" x14ac:dyDescent="0.25">
      <c r="A2058" s="1096"/>
      <c r="B2058" s="1455">
        <v>1808</v>
      </c>
      <c r="C2058" s="1100">
        <v>0.97665305343402942</v>
      </c>
      <c r="D2058" s="1100">
        <v>0.98583944217909858</v>
      </c>
      <c r="E2058" s="1100">
        <v>1.0146677882840627</v>
      </c>
      <c r="F2058" s="1100">
        <v>0.9813491276036741</v>
      </c>
      <c r="G2058" s="1100">
        <v>1.0114127152490695</v>
      </c>
      <c r="H2058" s="1100">
        <v>0.97836547024010045</v>
      </c>
      <c r="I2058" s="1100">
        <v>0.98740507278028444</v>
      </c>
      <c r="K2058">
        <v>1.1361809204896214</v>
      </c>
      <c r="L2058">
        <v>0</v>
      </c>
      <c r="M2058">
        <v>7.8255974150452515E-4</v>
      </c>
      <c r="N2058">
        <v>7.5269971568397168E-2</v>
      </c>
      <c r="O2058">
        <v>1.0662233767718169E-2</v>
      </c>
      <c r="P2058">
        <v>1.3476028752233003E-2</v>
      </c>
      <c r="Q2058">
        <v>4.6983692676112195E-4</v>
      </c>
      <c r="R2058">
        <v>7.8078823821425489E-4</v>
      </c>
      <c r="S2058">
        <v>7.3331631410523734E-2</v>
      </c>
      <c r="T2058">
        <v>0.81124751539733597</v>
      </c>
      <c r="U2058">
        <v>0</v>
      </c>
      <c r="V2058">
        <v>9.3178345110317556E-2</v>
      </c>
      <c r="W2058">
        <v>4.9020522586498735E-2</v>
      </c>
      <c r="X2058">
        <v>7.4015582754807683E-3</v>
      </c>
      <c r="Y2058">
        <v>2.1250481976456486E-3</v>
      </c>
    </row>
    <row r="2059" spans="1:25" x14ac:dyDescent="0.25">
      <c r="A2059" s="1096"/>
      <c r="B2059" s="1455">
        <v>1809</v>
      </c>
      <c r="C2059" s="1100">
        <v>0.99688199602845484</v>
      </c>
      <c r="D2059" s="1100">
        <v>1.0221004644450571</v>
      </c>
      <c r="E2059" s="1100">
        <v>0.98403222042558303</v>
      </c>
      <c r="F2059" s="1100">
        <v>0.9747897642514205</v>
      </c>
      <c r="G2059" s="1100">
        <v>1.0205133813810734</v>
      </c>
      <c r="H2059" s="1100">
        <v>1.0245148321093998</v>
      </c>
      <c r="I2059" s="1100">
        <v>0.98156656078246485</v>
      </c>
      <c r="K2059">
        <v>1.1286207954621088</v>
      </c>
      <c r="L2059">
        <v>0</v>
      </c>
      <c r="M2059">
        <v>8.4324075841289248E-4</v>
      </c>
      <c r="N2059">
        <v>7.3943745478933454E-2</v>
      </c>
      <c r="O2059">
        <v>1.0286060396241374E-2</v>
      </c>
      <c r="P2059">
        <v>1.3103568280688815E-2</v>
      </c>
      <c r="Q2059">
        <v>4.3951044350743141E-4</v>
      </c>
      <c r="R2059">
        <v>8.4141787489599063E-4</v>
      </c>
      <c r="S2059">
        <v>7.1900921151563921E-2</v>
      </c>
      <c r="T2059">
        <v>0.80780283033027678</v>
      </c>
      <c r="U2059">
        <v>0</v>
      </c>
      <c r="V2059">
        <v>9.3048108340117133E-2</v>
      </c>
      <c r="W2059">
        <v>4.9042162282879949E-2</v>
      </c>
      <c r="X2059">
        <v>6.7656495592767207E-3</v>
      </c>
      <c r="Y2059">
        <v>2.2900620821389725E-3</v>
      </c>
    </row>
    <row r="2060" spans="1:25" x14ac:dyDescent="0.25">
      <c r="A2060" s="1096"/>
      <c r="B2060" s="1455">
        <v>1810</v>
      </c>
      <c r="C2060" s="1100">
        <v>0.9986133472241594</v>
      </c>
      <c r="D2060" s="1100">
        <v>1.0120477061351765</v>
      </c>
      <c r="E2060" s="1100">
        <v>1.0354499289147543</v>
      </c>
      <c r="F2060" s="1100">
        <v>0.98598549450635253</v>
      </c>
      <c r="G2060" s="1100">
        <v>0.9881674616910211</v>
      </c>
      <c r="H2060" s="1100">
        <v>0.99037513193716586</v>
      </c>
      <c r="I2060" s="1100">
        <v>1.0010120085337935</v>
      </c>
      <c r="K2060">
        <v>1.1353356373964252</v>
      </c>
      <c r="L2060">
        <v>0</v>
      </c>
      <c r="M2060">
        <v>7.3418880974613222E-4</v>
      </c>
      <c r="N2060">
        <v>7.5186878787240535E-2</v>
      </c>
      <c r="O2060">
        <v>1.0325700439422237E-2</v>
      </c>
      <c r="P2060">
        <v>1.3680101239102734E-2</v>
      </c>
      <c r="Q2060">
        <v>4.6447925748693207E-4</v>
      </c>
      <c r="R2060">
        <v>7.3254695923709637E-4</v>
      </c>
      <c r="S2060">
        <v>7.2243798976321133E-2</v>
      </c>
      <c r="T2060">
        <v>0.81374028681813471</v>
      </c>
      <c r="U2060">
        <v>0</v>
      </c>
      <c r="V2060">
        <v>9.1630279733509498E-2</v>
      </c>
      <c r="W2060">
        <v>4.8376972035151587E-2</v>
      </c>
      <c r="X2060">
        <v>7.695030621560065E-3</v>
      </c>
      <c r="Y2060">
        <v>1.9937513390031639E-3</v>
      </c>
    </row>
    <row r="2061" spans="1:25" x14ac:dyDescent="0.25">
      <c r="A2061" s="1096"/>
      <c r="B2061" s="1455">
        <v>1811</v>
      </c>
      <c r="C2061" s="1100">
        <v>1.0013652405823874</v>
      </c>
      <c r="D2061" s="1100">
        <v>1.0295735858435444</v>
      </c>
      <c r="E2061" s="1100">
        <v>1.0276013537260116</v>
      </c>
      <c r="F2061" s="1100">
        <v>1.0156180157906476</v>
      </c>
      <c r="G2061" s="1100">
        <v>1.0034427746959933</v>
      </c>
      <c r="H2061" s="1100">
        <v>1.0095460993014609</v>
      </c>
      <c r="I2061" s="1100">
        <v>1.0149644056355769</v>
      </c>
      <c r="K2061">
        <v>1.1625456058864152</v>
      </c>
      <c r="L2061">
        <v>0</v>
      </c>
      <c r="M2061">
        <v>7.5346111462584004E-4</v>
      </c>
      <c r="N2061">
        <v>7.5359727591749012E-2</v>
      </c>
      <c r="O2061">
        <v>1.0224300649345609E-2</v>
      </c>
      <c r="P2061">
        <v>1.3970962248912543E-2</v>
      </c>
      <c r="Q2061">
        <v>4.5636588679101434E-4</v>
      </c>
      <c r="R2061">
        <v>7.5180816253365014E-4</v>
      </c>
      <c r="S2061">
        <v>7.3180905169524885E-2</v>
      </c>
      <c r="T2061">
        <v>0.83871578436598104</v>
      </c>
      <c r="U2061">
        <v>0</v>
      </c>
      <c r="V2061">
        <v>9.2213418610089248E-2</v>
      </c>
      <c r="W2061">
        <v>4.8709333573042635E-2</v>
      </c>
      <c r="X2061">
        <v>7.6702867581473636E-3</v>
      </c>
      <c r="Y2061">
        <v>2.0461739849224232E-3</v>
      </c>
    </row>
    <row r="2062" spans="1:25" x14ac:dyDescent="0.25">
      <c r="A2062" s="1096"/>
      <c r="B2062" s="1455">
        <v>1812</v>
      </c>
      <c r="C2062" s="1100">
        <v>0.99882075641638957</v>
      </c>
      <c r="D2062" s="1100">
        <v>1.0134509263200995</v>
      </c>
      <c r="E2062" s="1100">
        <v>1.033234787995531</v>
      </c>
      <c r="F2062" s="1100">
        <v>1.0067151488364625</v>
      </c>
      <c r="G2062" s="1100">
        <v>1.0144722908477526</v>
      </c>
      <c r="H2062" s="1100">
        <v>0.95393273745597906</v>
      </c>
      <c r="I2062" s="1100">
        <v>1.016376382831097</v>
      </c>
      <c r="K2062">
        <v>1.1485745036566657</v>
      </c>
      <c r="L2062">
        <v>0</v>
      </c>
      <c r="M2062">
        <v>7.0990598013868542E-4</v>
      </c>
      <c r="N2062">
        <v>7.2210237938738236E-2</v>
      </c>
      <c r="O2062">
        <v>1.0317110586916523E-2</v>
      </c>
      <c r="P2062">
        <v>1.3908338470279925E-2</v>
      </c>
      <c r="Q2062">
        <v>4.6307997793136428E-4</v>
      </c>
      <c r="R2062">
        <v>7.0825778488500541E-4</v>
      </c>
      <c r="S2062">
        <v>7.1781195824248537E-2</v>
      </c>
      <c r="T2062">
        <v>0.83099376175240514</v>
      </c>
      <c r="U2062">
        <v>0</v>
      </c>
      <c r="V2062">
        <v>9.2748776700628324E-2</v>
      </c>
      <c r="W2062">
        <v>4.6521309849915808E-2</v>
      </c>
      <c r="X2062">
        <v>7.7046965375124898E-3</v>
      </c>
      <c r="Y2062">
        <v>1.9276442133409454E-3</v>
      </c>
    </row>
    <row r="2063" spans="1:25" x14ac:dyDescent="0.25">
      <c r="A2063" s="1096"/>
      <c r="B2063" s="1455">
        <v>1813</v>
      </c>
      <c r="C2063" s="1100">
        <v>0.98844177205205741</v>
      </c>
      <c r="D2063" s="1100">
        <v>1.0080094537982807</v>
      </c>
      <c r="E2063" s="1100">
        <v>0.97869915506832705</v>
      </c>
      <c r="F2063" s="1100">
        <v>1.0069801313506475</v>
      </c>
      <c r="G2063" s="1100">
        <v>0.98271181419176767</v>
      </c>
      <c r="H2063" s="1100">
        <v>1.0259468395190927</v>
      </c>
      <c r="I2063" s="1100">
        <v>0.98146686006330253</v>
      </c>
      <c r="K2063">
        <v>1.1574410456942283</v>
      </c>
      <c r="L2063">
        <v>0</v>
      </c>
      <c r="M2063">
        <v>8.6587008473655645E-4</v>
      </c>
      <c r="N2063">
        <v>7.4713109694851218E-2</v>
      </c>
      <c r="O2063">
        <v>1.0429902575518634E-2</v>
      </c>
      <c r="P2063">
        <v>1.3410144102155847E-2</v>
      </c>
      <c r="Q2063">
        <v>4.4324930882654664E-4</v>
      </c>
      <c r="R2063">
        <v>8.6400089470935919E-4</v>
      </c>
      <c r="S2063">
        <v>7.3075490617808159E-2</v>
      </c>
      <c r="T2063">
        <v>0.83483758547412379</v>
      </c>
      <c r="U2063">
        <v>0</v>
      </c>
      <c r="V2063">
        <v>9.164299893260118E-2</v>
      </c>
      <c r="W2063">
        <v>4.9712086793596018E-2</v>
      </c>
      <c r="X2063">
        <v>6.8268217671941175E-3</v>
      </c>
      <c r="Y2063">
        <v>2.3515256175804826E-3</v>
      </c>
    </row>
    <row r="2064" spans="1:25" x14ac:dyDescent="0.25">
      <c r="A2064" s="1096"/>
      <c r="B2064" s="1455">
        <v>1814</v>
      </c>
      <c r="C2064" s="1100">
        <v>0.96543121651563457</v>
      </c>
      <c r="D2064" s="1100">
        <v>0.99700737039066223</v>
      </c>
      <c r="E2064" s="1100">
        <v>1.006637122400251</v>
      </c>
      <c r="F2064" s="1100">
        <v>1.0145130254474981</v>
      </c>
      <c r="G2064" s="1100">
        <v>0.97702139595371396</v>
      </c>
      <c r="H2064" s="1100">
        <v>0.99557340390860471</v>
      </c>
      <c r="I2064" s="1100">
        <v>1.0439223399263695</v>
      </c>
      <c r="K2064">
        <v>1.1712718913377256</v>
      </c>
      <c r="L2064">
        <v>0</v>
      </c>
      <c r="M2064">
        <v>8.1545153458615488E-4</v>
      </c>
      <c r="N2064">
        <v>7.6558014011305797E-2</v>
      </c>
      <c r="O2064">
        <v>1.0734945892666138E-2</v>
      </c>
      <c r="P2064">
        <v>1.3836938914596957E-2</v>
      </c>
      <c r="Q2064">
        <v>4.6926011602471738E-4</v>
      </c>
      <c r="R2064">
        <v>8.1363747960359802E-4</v>
      </c>
      <c r="S2064">
        <v>7.8724405665904926E-2</v>
      </c>
      <c r="T2064">
        <v>0.83919953975838113</v>
      </c>
      <c r="U2064">
        <v>0</v>
      </c>
      <c r="V2064">
        <v>9.2001851717195895E-2</v>
      </c>
      <c r="W2064">
        <v>5.0095923732154553E-2</v>
      </c>
      <c r="X2064">
        <v>7.4383725805187506E-3</v>
      </c>
      <c r="Y2064">
        <v>2.2144530039579276E-3</v>
      </c>
    </row>
    <row r="2065" spans="1:25" x14ac:dyDescent="0.25">
      <c r="A2065" s="1096"/>
      <c r="B2065" s="1455">
        <v>1815</v>
      </c>
      <c r="C2065" s="1100">
        <v>1.0078871366660589</v>
      </c>
      <c r="D2065" s="1100">
        <v>0.99864547746304222</v>
      </c>
      <c r="E2065" s="1100">
        <v>0.96579524831160179</v>
      </c>
      <c r="F2065" s="1100">
        <v>1.0247886992262938</v>
      </c>
      <c r="G2065" s="1100">
        <v>1.027282013239071</v>
      </c>
      <c r="H2065" s="1100">
        <v>0.99705731570423262</v>
      </c>
      <c r="I2065" s="1100">
        <v>1.0159395409683925</v>
      </c>
      <c r="K2065">
        <v>1.1679705228532824</v>
      </c>
      <c r="L2065">
        <v>0</v>
      </c>
      <c r="M2065">
        <v>8.5071115992003943E-4</v>
      </c>
      <c r="N2065">
        <v>7.0588380586392455E-2</v>
      </c>
      <c r="O2065">
        <v>1.0262759653284232E-2</v>
      </c>
      <c r="P2065">
        <v>1.3508521714268017E-2</v>
      </c>
      <c r="Q2065">
        <v>4.3043870317959593E-4</v>
      </c>
      <c r="R2065">
        <v>8.4882148289206372E-4</v>
      </c>
      <c r="S2065">
        <v>7.3337705188034952E-2</v>
      </c>
      <c r="T2065">
        <v>0.85048914167675016</v>
      </c>
      <c r="U2065">
        <v>0</v>
      </c>
      <c r="V2065">
        <v>9.3064207437066351E-2</v>
      </c>
      <c r="W2065">
        <v>4.7337266579395E-2</v>
      </c>
      <c r="X2065">
        <v>6.643778729434553E-3</v>
      </c>
      <c r="Y2065">
        <v>2.310212262505564E-3</v>
      </c>
    </row>
    <row r="2066" spans="1:25" x14ac:dyDescent="0.25">
      <c r="A2066" s="1096"/>
      <c r="B2066" s="1455">
        <v>1816</v>
      </c>
      <c r="C2066" s="1100">
        <v>0.99824345629184474</v>
      </c>
      <c r="D2066" s="1100">
        <v>0.97405351756955993</v>
      </c>
      <c r="E2066" s="1100">
        <v>1.0023076280297865</v>
      </c>
      <c r="F2066" s="1100">
        <v>1.0369152471660703</v>
      </c>
      <c r="G2066" s="1100">
        <v>1.0213763208921851</v>
      </c>
      <c r="H2066" s="1100">
        <v>1.0154492667131423</v>
      </c>
      <c r="I2066" s="1100">
        <v>1.0141549430124943</v>
      </c>
      <c r="K2066">
        <v>1.1870532367488029</v>
      </c>
      <c r="L2066">
        <v>0</v>
      </c>
      <c r="M2066">
        <v>8.1925132065162147E-4</v>
      </c>
      <c r="N2066">
        <v>7.591887346146102E-2</v>
      </c>
      <c r="O2066">
        <v>1.0477832403122556E-2</v>
      </c>
      <c r="P2066">
        <v>1.4022299139974216E-2</v>
      </c>
      <c r="Q2066">
        <v>4.5603679680665489E-4</v>
      </c>
      <c r="R2066">
        <v>8.1746448545823639E-4</v>
      </c>
      <c r="S2066">
        <v>7.5681555644693768E-2</v>
      </c>
      <c r="T2066">
        <v>0.8580270969769842</v>
      </c>
      <c r="U2066">
        <v>0</v>
      </c>
      <c r="V2066">
        <v>9.3053501785833312E-2</v>
      </c>
      <c r="W2066">
        <v>4.980524508993147E-2</v>
      </c>
      <c r="X2066">
        <v>7.387713432865913E-3</v>
      </c>
      <c r="Y2066">
        <v>2.224868852322111E-3</v>
      </c>
    </row>
    <row r="2067" spans="1:25" x14ac:dyDescent="0.25">
      <c r="A2067" s="1096"/>
      <c r="B2067" s="1455">
        <v>1817</v>
      </c>
      <c r="C2067" s="1100">
        <v>1.0091698254636172</v>
      </c>
      <c r="D2067" s="1100">
        <v>0.99295347588617955</v>
      </c>
      <c r="E2067" s="1100">
        <v>0.96759183133220561</v>
      </c>
      <c r="F2067" s="1100">
        <v>0.99446770244524185</v>
      </c>
      <c r="G2067" s="1100">
        <v>1.0000716733890813</v>
      </c>
      <c r="H2067" s="1100">
        <v>1.0213369880552539</v>
      </c>
      <c r="I2067" s="1100">
        <v>1.0237250393640236</v>
      </c>
      <c r="K2067">
        <v>1.1460123073253954</v>
      </c>
      <c r="L2067">
        <v>0</v>
      </c>
      <c r="M2067">
        <v>8.6908401745598902E-4</v>
      </c>
      <c r="N2067">
        <v>7.2510167414073248E-2</v>
      </c>
      <c r="O2067">
        <v>1.0273758362283543E-2</v>
      </c>
      <c r="P2067">
        <v>1.3197555928453208E-2</v>
      </c>
      <c r="Q2067">
        <v>4.3169343833685052E-4</v>
      </c>
      <c r="R2067">
        <v>8.6719942138722473E-4</v>
      </c>
      <c r="S2067">
        <v>7.5029275627548769E-2</v>
      </c>
      <c r="T2067">
        <v>0.82520503437762494</v>
      </c>
      <c r="U2067">
        <v>0</v>
      </c>
      <c r="V2067">
        <v>9.1869242394539058E-2</v>
      </c>
      <c r="W2067">
        <v>4.8572754566174908E-2</v>
      </c>
      <c r="X2067">
        <v>6.564478859625536E-3</v>
      </c>
      <c r="Y2067">
        <v>2.3602309528035948E-3</v>
      </c>
    </row>
    <row r="2068" spans="1:25" x14ac:dyDescent="0.25">
      <c r="A2068" s="1096"/>
      <c r="B2068" s="1455">
        <v>1818</v>
      </c>
      <c r="C2068" s="1100">
        <v>0.96784626817377184</v>
      </c>
      <c r="D2068" s="1100">
        <v>0.99058911373253189</v>
      </c>
      <c r="E2068" s="1100">
        <v>1.0119667479612755</v>
      </c>
      <c r="F2068" s="1100">
        <v>0.98959705352044836</v>
      </c>
      <c r="G2068" s="1100">
        <v>1.0090015920377557</v>
      </c>
      <c r="H2068" s="1100">
        <v>0.95202507540196135</v>
      </c>
      <c r="I2068" s="1100">
        <v>1.0406730546388976</v>
      </c>
      <c r="K2068">
        <v>1.1440535389345512</v>
      </c>
      <c r="L2068">
        <v>0</v>
      </c>
      <c r="M2068">
        <v>7.7126212681761E-4</v>
      </c>
      <c r="N2068">
        <v>7.3576381949705144E-2</v>
      </c>
      <c r="O2068">
        <v>1.0737669424634539E-2</v>
      </c>
      <c r="P2068">
        <v>1.3592657411356979E-2</v>
      </c>
      <c r="Q2068">
        <v>4.7188752591619296E-4</v>
      </c>
      <c r="R2068">
        <v>7.6946789234664679E-4</v>
      </c>
      <c r="S2068">
        <v>7.6637889412034921E-2</v>
      </c>
      <c r="T2068">
        <v>0.81824159970026089</v>
      </c>
      <c r="U2068">
        <v>0</v>
      </c>
      <c r="V2068">
        <v>9.3305786138108956E-2</v>
      </c>
      <c r="W2068">
        <v>4.7993732407423356E-2</v>
      </c>
      <c r="X2068">
        <v>7.4034912516346887E-3</v>
      </c>
      <c r="Y2068">
        <v>2.0942379479450316E-3</v>
      </c>
    </row>
    <row r="2069" spans="1:25" x14ac:dyDescent="0.25">
      <c r="A2069" s="1096"/>
      <c r="B2069" s="1455">
        <v>1819</v>
      </c>
      <c r="C2069" s="1100">
        <v>1.0200542008393341</v>
      </c>
      <c r="D2069" s="1100">
        <v>0.99078760708506741</v>
      </c>
      <c r="E2069" s="1100">
        <v>0.99290604129269922</v>
      </c>
      <c r="F2069" s="1100">
        <v>1.0357297335144018</v>
      </c>
      <c r="G2069" s="1100">
        <v>0.98981187110716051</v>
      </c>
      <c r="H2069" s="1100">
        <v>1.0072150698223428</v>
      </c>
      <c r="I2069" s="1100">
        <v>1.0212501803253962</v>
      </c>
      <c r="K2069">
        <v>1.1766434478627683</v>
      </c>
      <c r="L2069">
        <v>0</v>
      </c>
      <c r="M2069">
        <v>8.0538143553069948E-4</v>
      </c>
      <c r="N2069">
        <v>7.2541827832903527E-2</v>
      </c>
      <c r="O2069">
        <v>1.0181141711323673E-2</v>
      </c>
      <c r="P2069">
        <v>1.3865429512093208E-2</v>
      </c>
      <c r="Q2069">
        <v>4.3895021779800919E-4</v>
      </c>
      <c r="R2069">
        <v>8.0361049092227382E-4</v>
      </c>
      <c r="S2069">
        <v>7.3585015939868006E-2</v>
      </c>
      <c r="T2069">
        <v>0.85769153122780062</v>
      </c>
      <c r="U2069">
        <v>0</v>
      </c>
      <c r="V2069">
        <v>9.1171833070287159E-2</v>
      </c>
      <c r="W2069">
        <v>4.7856966193985356E-2</v>
      </c>
      <c r="X2069">
        <v>7.1253602551538805E-3</v>
      </c>
      <c r="Y2069">
        <v>2.187162846163293E-3</v>
      </c>
    </row>
    <row r="2070" spans="1:25" x14ac:dyDescent="0.25">
      <c r="A2070" s="1096"/>
      <c r="B2070" s="1455">
        <v>1820</v>
      </c>
      <c r="C2070" s="1100">
        <v>1.0438308895048651</v>
      </c>
      <c r="D2070" s="1100">
        <v>0.97281596735923592</v>
      </c>
      <c r="E2070" s="1100">
        <v>1.0080646905844688</v>
      </c>
      <c r="F2070" s="1100">
        <v>0.96961996438761422</v>
      </c>
      <c r="G2070" s="1100">
        <v>1.0485268969909518</v>
      </c>
      <c r="H2070" s="1100">
        <v>1.0136830384605851</v>
      </c>
      <c r="I2070" s="1100">
        <v>0.98892998807750965</v>
      </c>
      <c r="K2070">
        <v>1.1191379742736172</v>
      </c>
      <c r="L2070">
        <v>0</v>
      </c>
      <c r="M2070">
        <v>7.7321062449562132E-4</v>
      </c>
      <c r="N2070">
        <v>7.2908760189551211E-2</v>
      </c>
      <c r="O2070">
        <v>1.0027155479800912E-2</v>
      </c>
      <c r="P2070">
        <v>1.3244506999790011E-2</v>
      </c>
      <c r="Q2070">
        <v>4.3894711728540326E-4</v>
      </c>
      <c r="R2070">
        <v>7.7152126836911366E-4</v>
      </c>
      <c r="S2070">
        <v>7.0559865378831438E-2</v>
      </c>
      <c r="T2070">
        <v>0.80197293810248005</v>
      </c>
      <c r="U2070">
        <v>0</v>
      </c>
      <c r="V2070">
        <v>9.3130550796007905E-2</v>
      </c>
      <c r="W2070">
        <v>4.7667797848697797E-2</v>
      </c>
      <c r="X2070">
        <v>7.0893151567159628E-3</v>
      </c>
      <c r="Y2070">
        <v>2.0998265605829628E-3</v>
      </c>
    </row>
    <row r="2071" spans="1:25" x14ac:dyDescent="0.25">
      <c r="A2071" s="1096"/>
      <c r="B2071" s="1455">
        <v>1821</v>
      </c>
      <c r="C2071" s="1100">
        <v>1.009704706005496</v>
      </c>
      <c r="D2071" s="1100">
        <v>0.98615573477558582</v>
      </c>
      <c r="E2071" s="1100">
        <v>0.97444323474253769</v>
      </c>
      <c r="F2071" s="1100">
        <v>1.0075776387221764</v>
      </c>
      <c r="G2071" s="1100">
        <v>1.0402975238956456</v>
      </c>
      <c r="H2071" s="1100">
        <v>0.99794054137521704</v>
      </c>
      <c r="I2071" s="1100">
        <v>1.0274484595704598</v>
      </c>
      <c r="K2071">
        <v>1.1560848498011924</v>
      </c>
      <c r="L2071">
        <v>0</v>
      </c>
      <c r="M2071">
        <v>8.39105815296511E-4</v>
      </c>
      <c r="N2071">
        <v>7.1472773084482091E-2</v>
      </c>
      <c r="O2071">
        <v>1.0298792927781885E-2</v>
      </c>
      <c r="P2071">
        <v>1.3422927529843641E-2</v>
      </c>
      <c r="Q2071">
        <v>4.357846414616557E-4</v>
      </c>
      <c r="R2071">
        <v>8.3724356675597927E-4</v>
      </c>
      <c r="S2071">
        <v>7.4562316787724486E-2</v>
      </c>
      <c r="T2071">
        <v>0.8356200977810232</v>
      </c>
      <c r="U2071">
        <v>0</v>
      </c>
      <c r="V2071">
        <v>9.3577536764499258E-2</v>
      </c>
      <c r="W2071">
        <v>4.767875576330538E-2</v>
      </c>
      <c r="X2071">
        <v>6.7390257781688922E-3</v>
      </c>
      <c r="Y2071">
        <v>2.2787009914421712E-3</v>
      </c>
    </row>
    <row r="2072" spans="1:25" x14ac:dyDescent="0.25">
      <c r="A2072" s="1096"/>
      <c r="B2072" s="1455">
        <v>1822</v>
      </c>
      <c r="C2072" s="1100">
        <v>0.97720414972889902</v>
      </c>
      <c r="D2072" s="1100">
        <v>0.98934021443525277</v>
      </c>
      <c r="E2072" s="1100">
        <v>0.97392449878138598</v>
      </c>
      <c r="F2072" s="1100">
        <v>0.98756456592888098</v>
      </c>
      <c r="G2072" s="1100">
        <v>0.98272521098636534</v>
      </c>
      <c r="H2072" s="1100">
        <v>1.0366283573801591</v>
      </c>
      <c r="I2072" s="1100">
        <v>0.98863868613723704</v>
      </c>
      <c r="K2072">
        <v>1.1477127574234038</v>
      </c>
      <c r="L2072">
        <v>0</v>
      </c>
      <c r="M2072">
        <v>9.004291982011159E-4</v>
      </c>
      <c r="N2072">
        <v>7.6582157268730799E-2</v>
      </c>
      <c r="O2072">
        <v>1.0627429682230492E-2</v>
      </c>
      <c r="P2072">
        <v>1.3188204032740023E-2</v>
      </c>
      <c r="Q2072">
        <v>4.4945282342092328E-4</v>
      </c>
      <c r="R2072">
        <v>8.9850543300975876E-4</v>
      </c>
      <c r="S2072">
        <v>7.5607284816616369E-2</v>
      </c>
      <c r="T2072">
        <v>0.81905688586513747</v>
      </c>
      <c r="U2072">
        <v>0</v>
      </c>
      <c r="V2072">
        <v>9.1931081526500064E-2</v>
      </c>
      <c r="W2072">
        <v>5.1103251970401976E-2</v>
      </c>
      <c r="X2072">
        <v>6.7234976064003598E-3</v>
      </c>
      <c r="Y2072">
        <v>2.4454355964161744E-3</v>
      </c>
    </row>
    <row r="2073" spans="1:25" x14ac:dyDescent="0.25">
      <c r="A2073" s="1096"/>
      <c r="B2073" s="1455">
        <v>1823</v>
      </c>
      <c r="C2073" s="1100">
        <v>1.0004855459814326</v>
      </c>
      <c r="D2073" s="1100">
        <v>0.98404038310896691</v>
      </c>
      <c r="E2073" s="1100">
        <v>0.99932225919375861</v>
      </c>
      <c r="F2073" s="1100">
        <v>0.99900920652193936</v>
      </c>
      <c r="G2073" s="1100">
        <v>1.0111765034299782</v>
      </c>
      <c r="H2073" s="1100">
        <v>0.9943153581434645</v>
      </c>
      <c r="I2073" s="1100">
        <v>1.0191247055837354</v>
      </c>
      <c r="K2073">
        <v>1.1498227411242694</v>
      </c>
      <c r="L2073">
        <v>0</v>
      </c>
      <c r="M2073">
        <v>8.0209612517107216E-4</v>
      </c>
      <c r="N2073">
        <v>7.3658350026361258E-2</v>
      </c>
      <c r="O2073">
        <v>1.0410798773071482E-2</v>
      </c>
      <c r="P2073">
        <v>1.3544994117882044E-2</v>
      </c>
      <c r="Q2073">
        <v>4.5176214260611228E-4</v>
      </c>
      <c r="R2073">
        <v>8.0030952303602088E-4</v>
      </c>
      <c r="S2073">
        <v>7.4600894412019281E-2</v>
      </c>
      <c r="T2073">
        <v>0.82685796040200965</v>
      </c>
      <c r="U2073">
        <v>0</v>
      </c>
      <c r="V2073">
        <v>9.2561377722324076E-2</v>
      </c>
      <c r="W2073">
        <v>4.8408029362730767E-2</v>
      </c>
      <c r="X2073">
        <v>7.1521820676596392E-3</v>
      </c>
      <c r="Y2073">
        <v>2.178178699740684E-3</v>
      </c>
    </row>
    <row r="2074" spans="1:25" x14ac:dyDescent="0.25">
      <c r="A2074" s="1096"/>
      <c r="B2074" s="1455">
        <v>1824</v>
      </c>
      <c r="C2074" s="1100">
        <v>1.0142186067095276</v>
      </c>
      <c r="D2074" s="1100">
        <v>0.96648208916693612</v>
      </c>
      <c r="E2074" s="1100">
        <v>0.99224104329309015</v>
      </c>
      <c r="F2074" s="1100">
        <v>1.0020617984506175</v>
      </c>
      <c r="G2074" s="1100">
        <v>1.0036097116596865</v>
      </c>
      <c r="H2074" s="1100">
        <v>0.99301108927784287</v>
      </c>
      <c r="I2074" s="1100">
        <v>1.0124397604500428</v>
      </c>
      <c r="K2074">
        <v>1.1494874107688213</v>
      </c>
      <c r="L2074">
        <v>0</v>
      </c>
      <c r="M2074">
        <v>8.0767799636208748E-4</v>
      </c>
      <c r="N2074">
        <v>7.2600301259192271E-2</v>
      </c>
      <c r="O2074">
        <v>1.0341742847202257E-2</v>
      </c>
      <c r="P2074">
        <v>1.3493078149090506E-2</v>
      </c>
      <c r="Q2074">
        <v>4.4557521303211032E-4</v>
      </c>
      <c r="R2074">
        <v>8.0587659813501468E-4</v>
      </c>
      <c r="S2074">
        <v>7.3726115580909579E-2</v>
      </c>
      <c r="T2074">
        <v>0.8298552697110394</v>
      </c>
      <c r="U2074">
        <v>0</v>
      </c>
      <c r="V2074">
        <v>9.1901484957508092E-2</v>
      </c>
      <c r="W2074">
        <v>4.7914587359405132E-2</v>
      </c>
      <c r="X2074">
        <v>7.0177266466939303E-3</v>
      </c>
      <c r="Y2074">
        <v>2.1933304429743324E-3</v>
      </c>
    </row>
    <row r="2075" spans="1:25" x14ac:dyDescent="0.25">
      <c r="A2075" s="1096"/>
      <c r="B2075" s="1455">
        <v>1825</v>
      </c>
      <c r="C2075" s="1100">
        <v>1.0385784081304232</v>
      </c>
      <c r="D2075" s="1100">
        <v>0.98702653851386968</v>
      </c>
      <c r="E2075" s="1100">
        <v>1.0123852087338634</v>
      </c>
      <c r="F2075" s="1100">
        <v>0.99425617075704498</v>
      </c>
      <c r="G2075" s="1100">
        <v>1.0140456911396085</v>
      </c>
      <c r="H2075" s="1100">
        <v>1.0035097954912124</v>
      </c>
      <c r="I2075" s="1100">
        <v>1.0086736125570519</v>
      </c>
      <c r="K2075">
        <v>1.1382051363102412</v>
      </c>
      <c r="L2075">
        <v>0</v>
      </c>
      <c r="M2075">
        <v>7.5803722278088936E-4</v>
      </c>
      <c r="N2075">
        <v>7.2414823574355552E-2</v>
      </c>
      <c r="O2075">
        <v>1.0020946979140877E-2</v>
      </c>
      <c r="P2075">
        <v>1.3556248671059229E-2</v>
      </c>
      <c r="Q2075">
        <v>4.4057381682459428E-4</v>
      </c>
      <c r="R2075">
        <v>7.5636422835639329E-4</v>
      </c>
      <c r="S2075">
        <v>7.13972534654818E-2</v>
      </c>
      <c r="T2075">
        <v>0.82206657829914676</v>
      </c>
      <c r="U2075">
        <v>0</v>
      </c>
      <c r="V2075">
        <v>9.1777212572749178E-2</v>
      </c>
      <c r="W2075">
        <v>4.7224415714184009E-2</v>
      </c>
      <c r="X2075">
        <v>7.2501821175381329E-3</v>
      </c>
      <c r="Y2075">
        <v>2.0585740941852352E-3</v>
      </c>
    </row>
    <row r="2076" spans="1:25" x14ac:dyDescent="0.25">
      <c r="A2076" s="1096"/>
      <c r="B2076" s="1455">
        <v>1826</v>
      </c>
      <c r="C2076" s="1100">
        <v>0.98991993273248147</v>
      </c>
      <c r="D2076" s="1100">
        <v>0.97785852082368219</v>
      </c>
      <c r="E2076" s="1100">
        <v>0.99963105588543155</v>
      </c>
      <c r="F2076" s="1100">
        <v>0.98026520058978717</v>
      </c>
      <c r="G2076" s="1100">
        <v>0.98608661927701491</v>
      </c>
      <c r="H2076" s="1100">
        <v>0.98677480375186155</v>
      </c>
      <c r="I2076" s="1100">
        <v>1.0255886951837689</v>
      </c>
      <c r="K2076">
        <v>1.1352959848224353</v>
      </c>
      <c r="L2076">
        <v>0</v>
      </c>
      <c r="M2076">
        <v>8.06023438504069E-4</v>
      </c>
      <c r="N2076">
        <v>7.4086830724369529E-2</v>
      </c>
      <c r="O2076">
        <v>1.0548575158646821E-2</v>
      </c>
      <c r="P2076">
        <v>1.3341790387795871E-2</v>
      </c>
      <c r="Q2076">
        <v>4.5788290149512871E-4</v>
      </c>
      <c r="R2076">
        <v>8.0421436923156073E-4</v>
      </c>
      <c r="S2076">
        <v>7.5801312504332446E-2</v>
      </c>
      <c r="T2076">
        <v>0.81132391323034314</v>
      </c>
      <c r="U2076">
        <v>0</v>
      </c>
      <c r="V2076">
        <v>9.1753124216583923E-2</v>
      </c>
      <c r="W2076">
        <v>4.8680686522371688E-2</v>
      </c>
      <c r="X2076">
        <v>7.1148718419158574E-3</v>
      </c>
      <c r="Y2076">
        <v>2.1888064038527409E-3</v>
      </c>
    </row>
    <row r="2077" spans="1:25" x14ac:dyDescent="0.25">
      <c r="A2077" s="1096"/>
      <c r="B2077" s="1455">
        <v>1827</v>
      </c>
      <c r="C2077" s="1100">
        <v>0.99025464233326177</v>
      </c>
      <c r="D2077" s="1100">
        <v>1.0329044052226717</v>
      </c>
      <c r="E2077" s="1100">
        <v>0.99232183802917573</v>
      </c>
      <c r="F2077" s="1100">
        <v>0.99878963494466722</v>
      </c>
      <c r="G2077" s="1100">
        <v>1.0106164850945569</v>
      </c>
      <c r="H2077" s="1100">
        <v>1.0295018170242325</v>
      </c>
      <c r="I2077" s="1100">
        <v>1.0169690949265973</v>
      </c>
      <c r="K2077">
        <v>1.1528979957427354</v>
      </c>
      <c r="L2077">
        <v>0</v>
      </c>
      <c r="M2077">
        <v>8.3498126749383778E-4</v>
      </c>
      <c r="N2077">
        <v>7.507881038888771E-2</v>
      </c>
      <c r="O2077">
        <v>1.031413952700532E-2</v>
      </c>
      <c r="P2077">
        <v>1.3483845093819414E-2</v>
      </c>
      <c r="Q2077">
        <v>4.4442216686031271E-4</v>
      </c>
      <c r="R2077">
        <v>8.3318498270284504E-4</v>
      </c>
      <c r="S2077">
        <v>7.4806438989280966E-2</v>
      </c>
      <c r="T2077">
        <v>0.82714007202563766</v>
      </c>
      <c r="U2077">
        <v>0</v>
      </c>
      <c r="V2077">
        <v>9.2792353029862107E-2</v>
      </c>
      <c r="W2077">
        <v>4.9547954467611899E-2</v>
      </c>
      <c r="X2077">
        <v>7.0241014749984508E-3</v>
      </c>
      <c r="Y2077">
        <v>2.2676548635614129E-3</v>
      </c>
    </row>
    <row r="2078" spans="1:25" x14ac:dyDescent="0.25">
      <c r="A2078" s="1096"/>
      <c r="B2078" s="1455">
        <v>1828</v>
      </c>
      <c r="C2078" s="1100">
        <v>0.97939744195683998</v>
      </c>
      <c r="D2078" s="1100">
        <v>0.9663523643832268</v>
      </c>
      <c r="E2078" s="1100">
        <v>0.98735697925031107</v>
      </c>
      <c r="F2078" s="1100">
        <v>0.98078188549505241</v>
      </c>
      <c r="G2078" s="1100">
        <v>1.0156151657975425</v>
      </c>
      <c r="H2078" s="1100">
        <v>1.0041865348951859</v>
      </c>
      <c r="I2078" s="1100">
        <v>1.0078840653529666</v>
      </c>
      <c r="K2078">
        <v>1.1417927675886219</v>
      </c>
      <c r="L2078">
        <v>0</v>
      </c>
      <c r="M2078">
        <v>8.5445130789738293E-4</v>
      </c>
      <c r="N2078">
        <v>7.5680696801098332E-2</v>
      </c>
      <c r="O2078">
        <v>1.0708352703427806E-2</v>
      </c>
      <c r="P2078">
        <v>1.32657179002085E-2</v>
      </c>
      <c r="Q2078">
        <v>4.5909837849687876E-4</v>
      </c>
      <c r="R2078">
        <v>8.5256679765094868E-4</v>
      </c>
      <c r="S2078">
        <v>7.6477314915614422E-2</v>
      </c>
      <c r="T2078">
        <v>0.81255107294458251</v>
      </c>
      <c r="U2078">
        <v>0</v>
      </c>
      <c r="V2078">
        <v>9.3282797902847769E-2</v>
      </c>
      <c r="W2078">
        <v>5.0093956663063634E-2</v>
      </c>
      <c r="X2078">
        <v>6.9552381148914313E-3</v>
      </c>
      <c r="Y2078">
        <v>2.3204057746365699E-3</v>
      </c>
    </row>
    <row r="2079" spans="1:25" x14ac:dyDescent="0.25">
      <c r="A2079" s="1096"/>
      <c r="B2079" s="1455">
        <v>1829</v>
      </c>
      <c r="C2079" s="1100">
        <v>1.0201171410218521</v>
      </c>
      <c r="D2079" s="1100">
        <v>0.98602912150809996</v>
      </c>
      <c r="E2079" s="1100">
        <v>0.95941336119185172</v>
      </c>
      <c r="F2079" s="1100">
        <v>0.97818703303335097</v>
      </c>
      <c r="G2079" s="1100">
        <v>1.0123485165992911</v>
      </c>
      <c r="H2079" s="1100">
        <v>1.037077826105627</v>
      </c>
      <c r="I2079" s="1100">
        <v>0.98714813048532002</v>
      </c>
      <c r="K2079">
        <v>1.1303438371158541</v>
      </c>
      <c r="L2079">
        <v>0</v>
      </c>
      <c r="M2079">
        <v>8.9034610993639601E-4</v>
      </c>
      <c r="N2079">
        <v>7.2468712039157543E-2</v>
      </c>
      <c r="O2079">
        <v>1.0189372437446314E-2</v>
      </c>
      <c r="P2079">
        <v>1.2912283530196553E-2</v>
      </c>
      <c r="Q2079">
        <v>4.2457073994106413E-4</v>
      </c>
      <c r="R2079">
        <v>8.8844471166490502E-4</v>
      </c>
      <c r="S2079">
        <v>7.2442540361560587E-2</v>
      </c>
      <c r="T2079">
        <v>0.81223449020317362</v>
      </c>
      <c r="U2079">
        <v>0</v>
      </c>
      <c r="V2079">
        <v>9.2130126627235742E-2</v>
      </c>
      <c r="W2079">
        <v>4.8788486599182522E-2</v>
      </c>
      <c r="X2079">
        <v>6.3371023467999801E-3</v>
      </c>
      <c r="Y2079">
        <v>2.4180536294313832E-3</v>
      </c>
    </row>
    <row r="2080" spans="1:25" x14ac:dyDescent="0.25">
      <c r="A2080" s="1096"/>
      <c r="B2080" s="1455">
        <v>1830</v>
      </c>
      <c r="C2080" s="1100">
        <v>0.97039550343248604</v>
      </c>
      <c r="D2080" s="1100">
        <v>0.96190557979380054</v>
      </c>
      <c r="E2080" s="1100">
        <v>1.0117493197545988</v>
      </c>
      <c r="F2080" s="1100">
        <v>1.0118177098764531</v>
      </c>
      <c r="G2080" s="1100">
        <v>1.0079486175464216</v>
      </c>
      <c r="H2080" s="1100">
        <v>1.0095707085945127</v>
      </c>
      <c r="I2080" s="1100">
        <v>0.99388507004846138</v>
      </c>
      <c r="K2080">
        <v>1.1714172610066249</v>
      </c>
      <c r="L2080">
        <v>0</v>
      </c>
      <c r="M2080">
        <v>8.2575010399290162E-4</v>
      </c>
      <c r="N2080">
        <v>7.873317040616766E-2</v>
      </c>
      <c r="O2080">
        <v>1.083600223445221E-2</v>
      </c>
      <c r="P2080">
        <v>1.3840598691142325E-2</v>
      </c>
      <c r="Q2080">
        <v>4.7610556372231129E-4</v>
      </c>
      <c r="R2080">
        <v>8.2393860760097211E-4</v>
      </c>
      <c r="S2080">
        <v>7.6553273248331291E-2</v>
      </c>
      <c r="T2080">
        <v>0.83662907879817972</v>
      </c>
      <c r="U2080">
        <v>0</v>
      </c>
      <c r="V2080">
        <v>9.3193459367691467E-2</v>
      </c>
      <c r="W2080">
        <v>5.1364071046331866E-2</v>
      </c>
      <c r="X2080">
        <v>7.5508238683949531E-3</v>
      </c>
      <c r="Y2080">
        <v>2.2424892786008475E-3</v>
      </c>
    </row>
    <row r="2081" spans="1:25" x14ac:dyDescent="0.25">
      <c r="A2081" s="1096"/>
      <c r="B2081" s="1455">
        <v>1831</v>
      </c>
      <c r="C2081" s="1100">
        <v>1.010236502000591</v>
      </c>
      <c r="D2081" s="1100">
        <v>1.0035583837376763</v>
      </c>
      <c r="E2081" s="1100">
        <v>0.99895826179197988</v>
      </c>
      <c r="F2081" s="1100">
        <v>0.99773306243629245</v>
      </c>
      <c r="G2081" s="1100">
        <v>0.99359111460480054</v>
      </c>
      <c r="H2081" s="1100">
        <v>0.95858235958064775</v>
      </c>
      <c r="I2081" s="1100">
        <v>1.0315580430290454</v>
      </c>
      <c r="K2081">
        <v>1.1388253072992953</v>
      </c>
      <c r="L2081">
        <v>0</v>
      </c>
      <c r="M2081">
        <v>7.603883313710277E-4</v>
      </c>
      <c r="N2081">
        <v>6.9745668224529461E-2</v>
      </c>
      <c r="O2081">
        <v>1.0229512252573469E-2</v>
      </c>
      <c r="P2081">
        <v>1.3485754281280628E-2</v>
      </c>
      <c r="Q2081">
        <v>4.437330048137421E-4</v>
      </c>
      <c r="R2081">
        <v>7.5863149388689943E-4</v>
      </c>
      <c r="S2081">
        <v>7.2548509345519291E-2</v>
      </c>
      <c r="T2081">
        <v>0.82582577783534672</v>
      </c>
      <c r="U2081">
        <v>0</v>
      </c>
      <c r="V2081">
        <v>9.157039386348062E-2</v>
      </c>
      <c r="W2081">
        <v>4.5846551648792491E-2</v>
      </c>
      <c r="X2081">
        <v>7.0664188368874765E-3</v>
      </c>
      <c r="Y2081">
        <v>2.0647448435553912E-3</v>
      </c>
    </row>
    <row r="2082" spans="1:25" x14ac:dyDescent="0.25">
      <c r="A2082" s="1096"/>
      <c r="B2082" s="1455">
        <v>1832</v>
      </c>
      <c r="C2082" s="1100">
        <v>1.0101451901530851</v>
      </c>
      <c r="D2082" s="1100">
        <v>0.99254291861586041</v>
      </c>
      <c r="E2082" s="1100">
        <v>1.0142777434898935</v>
      </c>
      <c r="F2082" s="1100">
        <v>0.97484201838674955</v>
      </c>
      <c r="G2082" s="1100">
        <v>0.96881125277845836</v>
      </c>
      <c r="H2082" s="1100">
        <v>1.0283416992267698</v>
      </c>
      <c r="I2082" s="1100">
        <v>0.97707066906780504</v>
      </c>
      <c r="K2082">
        <v>1.1277562153972436</v>
      </c>
      <c r="L2082">
        <v>0</v>
      </c>
      <c r="M2082">
        <v>7.9375278042279561E-4</v>
      </c>
      <c r="N2082">
        <v>7.6265155631557044E-2</v>
      </c>
      <c r="O2082">
        <v>1.0280686199007745E-2</v>
      </c>
      <c r="P2082">
        <v>1.3341746828460859E-2</v>
      </c>
      <c r="Q2082">
        <v>4.5284766667011878E-4</v>
      </c>
      <c r="R2082">
        <v>7.9204326355364373E-4</v>
      </c>
      <c r="S2082">
        <v>7.1886321923949406E-2</v>
      </c>
      <c r="T2082">
        <v>0.80589330724805663</v>
      </c>
      <c r="U2082">
        <v>0</v>
      </c>
      <c r="V2082">
        <v>9.0515788510784193E-2</v>
      </c>
      <c r="W2082">
        <v>4.9680033745573171E-2</v>
      </c>
      <c r="X2082">
        <v>7.2863564936534566E-3</v>
      </c>
      <c r="Y2082">
        <v>2.1556806664013587E-3</v>
      </c>
    </row>
    <row r="2083" spans="1:25" x14ac:dyDescent="0.25">
      <c r="A2083" s="1096"/>
      <c r="B2083" s="1455">
        <v>1833</v>
      </c>
      <c r="C2083" s="1100">
        <v>0.99294848031998117</v>
      </c>
      <c r="D2083" s="1100">
        <v>1.0198197231553505</v>
      </c>
      <c r="E2083" s="1100">
        <v>1.002281664268639</v>
      </c>
      <c r="F2083" s="1100">
        <v>0.99060293670093191</v>
      </c>
      <c r="G2083" s="1100">
        <v>0.98990991188953525</v>
      </c>
      <c r="H2083" s="1100">
        <v>1.015717893207899</v>
      </c>
      <c r="I2083" s="1100">
        <v>0.98495400404518785</v>
      </c>
      <c r="K2083">
        <v>1.1414311058413114</v>
      </c>
      <c r="L2083">
        <v>0</v>
      </c>
      <c r="M2083">
        <v>8.0888902399576016E-4</v>
      </c>
      <c r="N2083">
        <v>7.4952778569084014E-2</v>
      </c>
      <c r="O2083">
        <v>1.0342001873713758E-2</v>
      </c>
      <c r="P2083">
        <v>1.343444217640925E-2</v>
      </c>
      <c r="Q2083">
        <v>4.5011318137339317E-4</v>
      </c>
      <c r="R2083">
        <v>8.0712525616565922E-4</v>
      </c>
      <c r="S2083">
        <v>7.2186722379474128E-2</v>
      </c>
      <c r="T2083">
        <v>0.81970626625938636</v>
      </c>
      <c r="U2083">
        <v>0</v>
      </c>
      <c r="V2083">
        <v>9.1840647519467924E-2</v>
      </c>
      <c r="W2083">
        <v>4.9172212903007967E-2</v>
      </c>
      <c r="X2083">
        <v>7.1509558687100922E-3</v>
      </c>
      <c r="Y2083">
        <v>2.1967288785137372E-3</v>
      </c>
    </row>
    <row r="2084" spans="1:25" x14ac:dyDescent="0.25">
      <c r="A2084" s="1096"/>
      <c r="B2084" s="1455">
        <v>1834</v>
      </c>
      <c r="C2084" s="1100">
        <v>1.0048123481623092</v>
      </c>
      <c r="D2084" s="1100">
        <v>0.98597541866487348</v>
      </c>
      <c r="E2084" s="1100">
        <v>1.0413770196870804</v>
      </c>
      <c r="F2084" s="1100">
        <v>1.0321124822093926</v>
      </c>
      <c r="G2084" s="1100">
        <v>0.99432610835690172</v>
      </c>
      <c r="H2084" s="1100">
        <v>0.99353056808842444</v>
      </c>
      <c r="I2084" s="1100">
        <v>1.0057785344924617</v>
      </c>
      <c r="K2084">
        <v>1.1765235755752401</v>
      </c>
      <c r="L2084">
        <v>0</v>
      </c>
      <c r="M2084">
        <v>7.3057548820708719E-4</v>
      </c>
      <c r="N2084">
        <v>7.6165364168820512E-2</v>
      </c>
      <c r="O2084">
        <v>1.0371645329488585E-2</v>
      </c>
      <c r="P2084">
        <v>1.4283801054127774E-2</v>
      </c>
      <c r="Q2084">
        <v>4.6927535933298536E-4</v>
      </c>
      <c r="R2084">
        <v>7.2894690691667301E-4</v>
      </c>
      <c r="S2084">
        <v>7.3250568779896899E-2</v>
      </c>
      <c r="T2084">
        <v>0.85141180608739575</v>
      </c>
      <c r="U2084">
        <v>0</v>
      </c>
      <c r="V2084">
        <v>9.1741323954364448E-2</v>
      </c>
      <c r="W2084">
        <v>4.8839337695373367E-2</v>
      </c>
      <c r="X2084">
        <v>8.0081285443854826E-3</v>
      </c>
      <c r="Y2084">
        <v>1.9839531833439001E-3</v>
      </c>
    </row>
    <row r="2085" spans="1:25" x14ac:dyDescent="0.25">
      <c r="A2085" s="1096"/>
      <c r="B2085" s="1455">
        <v>1835</v>
      </c>
      <c r="C2085" s="1100">
        <v>0.99499336608922018</v>
      </c>
      <c r="D2085" s="1100">
        <v>1.0064145376798719</v>
      </c>
      <c r="E2085" s="1100">
        <v>0.98112928258660737</v>
      </c>
      <c r="F2085" s="1100">
        <v>0.9938344300790285</v>
      </c>
      <c r="G2085" s="1100">
        <v>0.98107426971332357</v>
      </c>
      <c r="H2085" s="1100">
        <v>0.96549027772513396</v>
      </c>
      <c r="I2085" s="1100">
        <v>0.98936200449314793</v>
      </c>
      <c r="K2085">
        <v>1.1355985484395403</v>
      </c>
      <c r="L2085">
        <v>0</v>
      </c>
      <c r="M2085">
        <v>8.0593399887806544E-4</v>
      </c>
      <c r="N2085">
        <v>7.0045137563439872E-2</v>
      </c>
      <c r="O2085">
        <v>1.0368585882419956E-2</v>
      </c>
      <c r="P2085">
        <v>1.3252573543019223E-2</v>
      </c>
      <c r="Q2085">
        <v>4.4173325255557187E-4</v>
      </c>
      <c r="R2085">
        <v>8.0408525329178084E-4</v>
      </c>
      <c r="S2085">
        <v>7.0801767542282124E-2</v>
      </c>
      <c r="T2085">
        <v>0.82377766851570955</v>
      </c>
      <c r="U2085">
        <v>0</v>
      </c>
      <c r="V2085">
        <v>9.14082889233086E-2</v>
      </c>
      <c r="W2085">
        <v>4.6537801259842762E-2</v>
      </c>
      <c r="X2085">
        <v>6.7783857097205354E-3</v>
      </c>
      <c r="Y2085">
        <v>2.1884549928277179E-3</v>
      </c>
    </row>
    <row r="2086" spans="1:25" x14ac:dyDescent="0.25">
      <c r="A2086" s="1096"/>
      <c r="B2086" s="1455">
        <v>1836</v>
      </c>
      <c r="C2086" s="1100">
        <v>1.001214690842799</v>
      </c>
      <c r="D2086" s="1100">
        <v>0.9748106294764245</v>
      </c>
      <c r="E2086" s="1100">
        <v>0.99527837472047698</v>
      </c>
      <c r="F2086" s="1100">
        <v>0.98258763130361693</v>
      </c>
      <c r="G2086" s="1100">
        <v>1.0183915787626967</v>
      </c>
      <c r="H2086" s="1100">
        <v>0.98673775907491224</v>
      </c>
      <c r="I2086" s="1100">
        <v>0.99169179666716145</v>
      </c>
      <c r="K2086">
        <v>1.1335033432988044</v>
      </c>
      <c r="L2086">
        <v>0</v>
      </c>
      <c r="M2086">
        <v>8.0513023016779968E-4</v>
      </c>
      <c r="N2086">
        <v>7.3037724489633221E-2</v>
      </c>
      <c r="O2086">
        <v>1.0441170814006773E-2</v>
      </c>
      <c r="P2086">
        <v>1.329945976864557E-2</v>
      </c>
      <c r="Q2086">
        <v>4.5123939593311066E-4</v>
      </c>
      <c r="R2086">
        <v>8.0332309780376606E-4</v>
      </c>
      <c r="S2086">
        <v>7.2579097514892971E-2</v>
      </c>
      <c r="T2086">
        <v>0.8135295936304866</v>
      </c>
      <c r="U2086">
        <v>0</v>
      </c>
      <c r="V2086">
        <v>9.2851264287021354E-2</v>
      </c>
      <c r="W2086">
        <v>4.8115908511667388E-2</v>
      </c>
      <c r="X2086">
        <v>7.0133113620469562E-3</v>
      </c>
      <c r="Y2086">
        <v>2.1863806568338307E-3</v>
      </c>
    </row>
    <row r="2087" spans="1:25" x14ac:dyDescent="0.25">
      <c r="A2087" s="1096"/>
      <c r="B2087" s="1455">
        <v>1837</v>
      </c>
      <c r="C2087" s="1100">
        <v>1.0323275497915307</v>
      </c>
      <c r="D2087" s="1100">
        <v>0.98108123569607109</v>
      </c>
      <c r="E2087" s="1100">
        <v>0.99132512039818277</v>
      </c>
      <c r="F2087" s="1100">
        <v>1.0348000459328357</v>
      </c>
      <c r="G2087" s="1100">
        <v>0.99739701024313032</v>
      </c>
      <c r="H2087" s="1100">
        <v>0.99376886095836536</v>
      </c>
      <c r="I2087" s="1100">
        <v>0.99276689787601868</v>
      </c>
      <c r="K2087">
        <v>1.1699872065641592</v>
      </c>
      <c r="L2087">
        <v>0</v>
      </c>
      <c r="M2087">
        <v>7.9086651912165168E-4</v>
      </c>
      <c r="N2087">
        <v>7.0892712929295151E-2</v>
      </c>
      <c r="O2087">
        <v>1.0099288073479861E-2</v>
      </c>
      <c r="P2087">
        <v>1.3798761290724911E-2</v>
      </c>
      <c r="Q2087">
        <v>4.347267696463283E-4</v>
      </c>
      <c r="R2087">
        <v>7.8910396125642991E-4</v>
      </c>
      <c r="S2087">
        <v>7.0508449334229492E-2</v>
      </c>
      <c r="T2087">
        <v>0.8570303780510713</v>
      </c>
      <c r="U2087">
        <v>0</v>
      </c>
      <c r="V2087">
        <v>9.1207129969537767E-2</v>
      </c>
      <c r="W2087">
        <v>4.6813259872470807E-2</v>
      </c>
      <c r="X2087">
        <v>7.0565819770792189E-3</v>
      </c>
      <c r="Y2087">
        <v>2.1476808544890849E-3</v>
      </c>
    </row>
    <row r="2088" spans="1:25" x14ac:dyDescent="0.25">
      <c r="A2088" s="1096"/>
      <c r="B2088" s="1455">
        <v>1838</v>
      </c>
      <c r="C2088" s="1100">
        <v>1.0124953778051913</v>
      </c>
      <c r="D2088" s="1100">
        <v>0.9888372213277562</v>
      </c>
      <c r="E2088" s="1100">
        <v>1.015914399191904</v>
      </c>
      <c r="F2088" s="1100">
        <v>0.97116236022467972</v>
      </c>
      <c r="G2088" s="1100">
        <v>0.99705078248048395</v>
      </c>
      <c r="H2088" s="1100">
        <v>0.99613671725099973</v>
      </c>
      <c r="I2088" s="1100">
        <v>1.0205522038361765</v>
      </c>
      <c r="K2088">
        <v>1.1236250013033289</v>
      </c>
      <c r="L2088">
        <v>0</v>
      </c>
      <c r="M2088">
        <v>7.656485943981897E-4</v>
      </c>
      <c r="N2088">
        <v>7.392394882970256E-2</v>
      </c>
      <c r="O2088">
        <v>1.0272713369694868E-2</v>
      </c>
      <c r="P2088">
        <v>1.3355782579557307E-2</v>
      </c>
      <c r="Q2088">
        <v>4.5323531439721022E-4</v>
      </c>
      <c r="R2088">
        <v>7.639462943199169E-4</v>
      </c>
      <c r="S2088">
        <v>7.3729729915500961E-2</v>
      </c>
      <c r="T2088">
        <v>0.8027469140323864</v>
      </c>
      <c r="U2088">
        <v>0</v>
      </c>
      <c r="V2088">
        <v>9.1666159394890812E-2</v>
      </c>
      <c r="W2088">
        <v>4.8108677842510009E-2</v>
      </c>
      <c r="X2088">
        <v>7.2903323464556238E-3</v>
      </c>
      <c r="Y2088">
        <v>2.079209978310573E-3</v>
      </c>
    </row>
    <row r="2089" spans="1:25" x14ac:dyDescent="0.25">
      <c r="A2089" s="1096"/>
      <c r="B2089" s="1455">
        <v>1839</v>
      </c>
      <c r="C2089" s="1100">
        <v>1.0017530674701274</v>
      </c>
      <c r="D2089" s="1100">
        <v>1.0398259395338127</v>
      </c>
      <c r="E2089" s="1100">
        <v>0.98894556801264721</v>
      </c>
      <c r="F2089" s="1100">
        <v>0.97057524839638898</v>
      </c>
      <c r="G2089" s="1100">
        <v>1.0166640293172666</v>
      </c>
      <c r="H2089" s="1100">
        <v>1.0154319916132228</v>
      </c>
      <c r="I2089" s="1100">
        <v>1.0362163672962506</v>
      </c>
      <c r="K2089">
        <v>1.1249236092606369</v>
      </c>
      <c r="L2089">
        <v>0</v>
      </c>
      <c r="M2089">
        <v>8.1764268166150571E-4</v>
      </c>
      <c r="N2089">
        <v>7.2770973791520893E-2</v>
      </c>
      <c r="O2089">
        <v>1.0167464953904262E-2</v>
      </c>
      <c r="P2089">
        <v>1.3132197943392956E-2</v>
      </c>
      <c r="Q2089">
        <v>4.3661015680101226E-4</v>
      </c>
      <c r="R2089">
        <v>8.1585932466517641E-4</v>
      </c>
      <c r="S2089">
        <v>7.4503945213611061E-2</v>
      </c>
      <c r="T2089">
        <v>0.80399248322758998</v>
      </c>
      <c r="U2089">
        <v>0</v>
      </c>
      <c r="V2089">
        <v>9.2763265891209229E-2</v>
      </c>
      <c r="W2089">
        <v>4.8122091433042122E-2</v>
      </c>
      <c r="X2089">
        <v>6.8158598727768825E-3</v>
      </c>
      <c r="Y2089">
        <v>2.220500133784515E-3</v>
      </c>
    </row>
    <row r="2090" spans="1:25" x14ac:dyDescent="0.25">
      <c r="A2090" s="1096"/>
      <c r="B2090" s="1455">
        <v>1840</v>
      </c>
      <c r="C2090" s="1100">
        <v>1.0036187218173489</v>
      </c>
      <c r="D2090" s="1100">
        <v>0.9743777344156539</v>
      </c>
      <c r="E2090" s="1100">
        <v>0.96252827512270278</v>
      </c>
      <c r="F2090" s="1100">
        <v>0.96744755164981466</v>
      </c>
      <c r="G2090" s="1100">
        <v>1.024871586653969</v>
      </c>
      <c r="H2090" s="1100">
        <v>0.99827130584549473</v>
      </c>
      <c r="I2090" s="1100">
        <v>1.0154002075630906</v>
      </c>
      <c r="K2090">
        <v>1.1227038156277689</v>
      </c>
      <c r="L2090">
        <v>0</v>
      </c>
      <c r="M2090">
        <v>8.6966837059302619E-4</v>
      </c>
      <c r="N2090">
        <v>7.1450955309165703E-2</v>
      </c>
      <c r="O2090">
        <v>1.0407256149874405E-2</v>
      </c>
      <c r="P2090">
        <v>1.286354676177685E-2</v>
      </c>
      <c r="Q2090">
        <v>4.3503932226386004E-4</v>
      </c>
      <c r="R2090">
        <v>8.6773893331481406E-4</v>
      </c>
      <c r="S2090">
        <v>7.459356397525975E-2</v>
      </c>
      <c r="T2090">
        <v>0.80311368379385872</v>
      </c>
      <c r="U2090">
        <v>0</v>
      </c>
      <c r="V2090">
        <v>9.3065284637578821E-2</v>
      </c>
      <c r="W2090">
        <v>4.8011531525216845E-2</v>
      </c>
      <c r="X2090">
        <v>6.4031842636323695E-3</v>
      </c>
      <c r="Y2090">
        <v>2.3616993264204346E-3</v>
      </c>
    </row>
    <row r="2091" spans="1:25" x14ac:dyDescent="0.25">
      <c r="A2091" s="1096"/>
      <c r="B2091" s="1455">
        <v>1841</v>
      </c>
      <c r="C2091" s="1100">
        <v>1.0105485117145891</v>
      </c>
      <c r="D2091" s="1100">
        <v>0.97722021831166128</v>
      </c>
      <c r="E2091" s="1100">
        <v>1.0020684138017317</v>
      </c>
      <c r="F2091" s="1100">
        <v>1.0273672316893963</v>
      </c>
      <c r="G2091" s="1100">
        <v>0.98370742935055122</v>
      </c>
      <c r="H2091" s="1100">
        <v>0.95777822257272816</v>
      </c>
      <c r="I2091" s="1100">
        <v>1.0196739993461554</v>
      </c>
      <c r="K2091">
        <v>1.1648462871530185</v>
      </c>
      <c r="L2091">
        <v>0</v>
      </c>
      <c r="M2091">
        <v>7.6270203430237819E-4</v>
      </c>
      <c r="N2091">
        <v>7.0618180557500659E-2</v>
      </c>
      <c r="O2091">
        <v>1.0336740563964957E-2</v>
      </c>
      <c r="P2091">
        <v>1.3844616733883425E-2</v>
      </c>
      <c r="Q2091">
        <v>4.4978788568580106E-4</v>
      </c>
      <c r="R2091">
        <v>7.6093837162460138E-4</v>
      </c>
      <c r="S2091">
        <v>7.265205379127064E-2</v>
      </c>
      <c r="T2091">
        <v>0.85014255393790761</v>
      </c>
      <c r="U2091">
        <v>0</v>
      </c>
      <c r="V2091">
        <v>9.1140738933452189E-2</v>
      </c>
      <c r="W2091">
        <v>4.6334394297581745E-2</v>
      </c>
      <c r="X2091">
        <v>7.2579607101537344E-3</v>
      </c>
      <c r="Y2091">
        <v>2.0710234042953745E-3</v>
      </c>
    </row>
    <row r="2092" spans="1:25" x14ac:dyDescent="0.25">
      <c r="A2092" s="1096"/>
      <c r="B2092" s="1455">
        <v>1842</v>
      </c>
      <c r="C2092" s="1100">
        <v>0.99356917389788535</v>
      </c>
      <c r="D2092" s="1100">
        <v>0.98954557141580268</v>
      </c>
      <c r="E2092" s="1100">
        <v>1.0208504973186119</v>
      </c>
      <c r="F2092" s="1100">
        <v>1.0160077245660371</v>
      </c>
      <c r="G2092" s="1100">
        <v>1.013932589589386</v>
      </c>
      <c r="H2092" s="1100">
        <v>1.0033761813065565</v>
      </c>
      <c r="I2092" s="1100">
        <v>0.98653874559145061</v>
      </c>
      <c r="K2092">
        <v>1.1654811720767193</v>
      </c>
      <c r="L2092">
        <v>0</v>
      </c>
      <c r="M2092">
        <v>7.7765255329253168E-4</v>
      </c>
      <c r="N2092">
        <v>7.6210736798299858E-2</v>
      </c>
      <c r="O2092">
        <v>1.0467034623199888E-2</v>
      </c>
      <c r="P2092">
        <v>1.3917897456074422E-2</v>
      </c>
      <c r="Q2092">
        <v>4.6408261277584015E-4</v>
      </c>
      <c r="R2092">
        <v>7.7593603912276923E-4</v>
      </c>
      <c r="S2092">
        <v>7.2902923431599931E-2</v>
      </c>
      <c r="T2092">
        <v>0.83948632126495648</v>
      </c>
      <c r="U2092">
        <v>0</v>
      </c>
      <c r="V2092">
        <v>9.2854893154342158E-2</v>
      </c>
      <c r="W2092">
        <v>4.9453682539045904E-2</v>
      </c>
      <c r="X2092">
        <v>7.6134745993485199E-3</v>
      </c>
      <c r="Y2092">
        <v>2.1118421112456252E-3</v>
      </c>
    </row>
    <row r="2093" spans="1:25" x14ac:dyDescent="0.25">
      <c r="A2093" s="1096"/>
      <c r="B2093" s="1455">
        <v>1843</v>
      </c>
      <c r="C2093" s="1100">
        <v>1.0005589395589483</v>
      </c>
      <c r="D2093" s="1100">
        <v>0.9897260791979493</v>
      </c>
      <c r="E2093" s="1100">
        <v>0.99697884220465172</v>
      </c>
      <c r="F2093" s="1100">
        <v>0.99592260855970993</v>
      </c>
      <c r="G2093" s="1100">
        <v>1.0363023997726006</v>
      </c>
      <c r="H2093" s="1100">
        <v>0.97310426942995232</v>
      </c>
      <c r="I2093" s="1100">
        <v>0.97301965469856067</v>
      </c>
      <c r="K2093">
        <v>1.1407109659670718</v>
      </c>
      <c r="L2093">
        <v>0</v>
      </c>
      <c r="M2093">
        <v>7.8693604342265882E-4</v>
      </c>
      <c r="N2093">
        <v>7.1752768661200464E-2</v>
      </c>
      <c r="O2093">
        <v>1.0385303157751425E-2</v>
      </c>
      <c r="P2093">
        <v>1.3442819780133045E-2</v>
      </c>
      <c r="Q2093">
        <v>4.4959441604177676E-4</v>
      </c>
      <c r="R2093">
        <v>7.8514500197067504E-4</v>
      </c>
      <c r="S2093">
        <v>7.0164815418394186E-2</v>
      </c>
      <c r="T2093">
        <v>0.82445790366574723</v>
      </c>
      <c r="U2093">
        <v>0</v>
      </c>
      <c r="V2093">
        <v>9.3633494507262174E-2</v>
      </c>
      <c r="W2093">
        <v>4.7221507725500017E-2</v>
      </c>
      <c r="X2093">
        <v>7.0676438041094667E-3</v>
      </c>
      <c r="Y2093">
        <v>2.1369058723838381E-3</v>
      </c>
    </row>
    <row r="2094" spans="1:25" x14ac:dyDescent="0.25">
      <c r="A2094" s="1096"/>
      <c r="B2094" s="1455">
        <v>1844</v>
      </c>
      <c r="C2094" s="1100">
        <v>0.98701235544394594</v>
      </c>
      <c r="D2094" s="1100">
        <v>1.0386025559572656</v>
      </c>
      <c r="E2094" s="1100">
        <v>0.97833078341031166</v>
      </c>
      <c r="F2094" s="1100">
        <v>0.99996282706885653</v>
      </c>
      <c r="G2094" s="1100">
        <v>1.0219340990367645</v>
      </c>
      <c r="H2094" s="1100">
        <v>1.0377037236756148</v>
      </c>
      <c r="I2094" s="1100">
        <v>1.0037530147547913</v>
      </c>
      <c r="K2094">
        <v>1.1543586039674871</v>
      </c>
      <c r="L2094">
        <v>0</v>
      </c>
      <c r="M2094">
        <v>8.6729445678007146E-4</v>
      </c>
      <c r="N2094">
        <v>7.4754473949234332E-2</v>
      </c>
      <c r="O2094">
        <v>1.0320715227516262E-2</v>
      </c>
      <c r="P2094">
        <v>1.33666162733522E-2</v>
      </c>
      <c r="Q2094">
        <v>4.3844474657141457E-4</v>
      </c>
      <c r="R2094">
        <v>8.6544340412282128E-4</v>
      </c>
      <c r="S2094">
        <v>7.4186543823996379E-2</v>
      </c>
      <c r="T2094">
        <v>0.82904452760639524</v>
      </c>
      <c r="U2094">
        <v>0</v>
      </c>
      <c r="V2094">
        <v>9.3356678128950141E-2</v>
      </c>
      <c r="W2094">
        <v>4.9750687369710229E-2</v>
      </c>
      <c r="X2094">
        <v>6.7863162417367102E-3</v>
      </c>
      <c r="Y2094">
        <v>2.3554516526808249E-3</v>
      </c>
    </row>
    <row r="2095" spans="1:25" x14ac:dyDescent="0.25">
      <c r="A2095" s="1096"/>
      <c r="B2095" s="1455">
        <v>1845</v>
      </c>
      <c r="C2095" s="1100">
        <v>0.99052922749299066</v>
      </c>
      <c r="D2095" s="1100">
        <v>0.99509564321773891</v>
      </c>
      <c r="E2095" s="1100">
        <v>0.96379072070580218</v>
      </c>
      <c r="F2095" s="1100">
        <v>1.0163899184521665</v>
      </c>
      <c r="G2095" s="1100">
        <v>1.0399514031920665</v>
      </c>
      <c r="H2095" s="1100">
        <v>0.9931129207153937</v>
      </c>
      <c r="I2095" s="1100">
        <v>0.98563921576144742</v>
      </c>
      <c r="K2095">
        <v>1.1628327443441069</v>
      </c>
      <c r="L2095">
        <v>0</v>
      </c>
      <c r="M2095">
        <v>8.6700092254610086E-4</v>
      </c>
      <c r="N2095">
        <v>7.1503920414569586E-2</v>
      </c>
      <c r="O2095">
        <v>1.0456828093173613E-2</v>
      </c>
      <c r="P2095">
        <v>1.339706948175695E-2</v>
      </c>
      <c r="Q2095">
        <v>4.3767804309998939E-4</v>
      </c>
      <c r="R2095">
        <v>8.6506741217799309E-4</v>
      </c>
      <c r="S2095">
        <v>7.2367542432453913E-2</v>
      </c>
      <c r="T2095">
        <v>0.84365605844010072</v>
      </c>
      <c r="U2095">
        <v>0</v>
      </c>
      <c r="V2095">
        <v>9.4036610034426232E-2</v>
      </c>
      <c r="W2095">
        <v>4.8010016773503181E-2</v>
      </c>
      <c r="X2095">
        <v>6.6145258148362389E-3</v>
      </c>
      <c r="Y2095">
        <v>2.3544283265527141E-3</v>
      </c>
    </row>
    <row r="2096" spans="1:25" x14ac:dyDescent="0.25">
      <c r="A2096" s="1096"/>
      <c r="B2096" s="1455">
        <v>1846</v>
      </c>
      <c r="C2096" s="1100">
        <v>1.0043156500172719</v>
      </c>
      <c r="D2096" s="1100">
        <v>0.98765634634591926</v>
      </c>
      <c r="E2096" s="1100">
        <v>1.00607757318555</v>
      </c>
      <c r="F2096" s="1100">
        <v>0.99400947129031203</v>
      </c>
      <c r="G2096" s="1100">
        <v>0.97156483424364204</v>
      </c>
      <c r="H2096" s="1100">
        <v>1.0143347303048029</v>
      </c>
      <c r="I2096" s="1100">
        <v>1.0056704650189507</v>
      </c>
      <c r="K2096">
        <v>1.1452887700104004</v>
      </c>
      <c r="L2096">
        <v>0</v>
      </c>
      <c r="M2096">
        <v>8.0259942777415505E-4</v>
      </c>
      <c r="N2096">
        <v>7.5227290390294785E-2</v>
      </c>
      <c r="O2096">
        <v>1.0358104295084856E-2</v>
      </c>
      <c r="P2096">
        <v>1.3518209061111062E-2</v>
      </c>
      <c r="Q2096">
        <v>4.5253341495952944E-4</v>
      </c>
      <c r="R2096">
        <v>8.0084698789377538E-4</v>
      </c>
      <c r="S2096">
        <v>7.4024813858175054E-2</v>
      </c>
      <c r="T2096">
        <v>0.82227582199495175</v>
      </c>
      <c r="U2096">
        <v>0</v>
      </c>
      <c r="V2096">
        <v>9.0774502129701187E-2</v>
      </c>
      <c r="W2096">
        <v>4.9241452850366921E-2</v>
      </c>
      <c r="X2096">
        <v>7.2381529537254175E-3</v>
      </c>
      <c r="Y2096">
        <v>2.1796415019082484E-3</v>
      </c>
    </row>
    <row r="2097" spans="1:25" x14ac:dyDescent="0.25">
      <c r="A2097" s="1096"/>
      <c r="B2097" s="1455">
        <v>1847</v>
      </c>
      <c r="C2097" s="1100">
        <v>0.97259749951522656</v>
      </c>
      <c r="D2097" s="1100">
        <v>1.0237767956315083</v>
      </c>
      <c r="E2097" s="1100">
        <v>1.0258164138148265</v>
      </c>
      <c r="F2097" s="1100">
        <v>0.95825566612243629</v>
      </c>
      <c r="G2097" s="1100">
        <v>1.0189562752333297</v>
      </c>
      <c r="H2097" s="1100">
        <v>0.9926478308384008</v>
      </c>
      <c r="I2097" s="1100">
        <v>1.0089598914772584</v>
      </c>
      <c r="K2097">
        <v>1.1191268123375382</v>
      </c>
      <c r="L2097">
        <v>0</v>
      </c>
      <c r="M2097">
        <v>7.6733432648943048E-4</v>
      </c>
      <c r="N2097">
        <v>7.6332488062540463E-2</v>
      </c>
      <c r="O2097">
        <v>1.0549921423963497E-2</v>
      </c>
      <c r="P2097">
        <v>1.3332664510595652E-2</v>
      </c>
      <c r="Q2097">
        <v>4.7006831106022811E-4</v>
      </c>
      <c r="R2097">
        <v>7.6562228215552148E-4</v>
      </c>
      <c r="S2097">
        <v>7.440760002995539E-2</v>
      </c>
      <c r="T2097">
        <v>0.79145667322571367</v>
      </c>
      <c r="U2097">
        <v>0</v>
      </c>
      <c r="V2097">
        <v>9.3608457082342375E-2</v>
      </c>
      <c r="W2097">
        <v>4.9389363458461864E-2</v>
      </c>
      <c r="X2097">
        <v>7.4975168125304362E-3</v>
      </c>
      <c r="Y2097">
        <v>2.0837714647098477E-3</v>
      </c>
    </row>
    <row r="2098" spans="1:25" x14ac:dyDescent="0.25">
      <c r="A2098" s="1096"/>
      <c r="B2098" s="1455">
        <v>1848</v>
      </c>
      <c r="C2098" s="1100">
        <v>1.0186205935517896</v>
      </c>
      <c r="D2098" s="1100">
        <v>0.99860945572449755</v>
      </c>
      <c r="E2098" s="1100">
        <v>1.0400101245462978</v>
      </c>
      <c r="F2098" s="1100">
        <v>0.99372816265719743</v>
      </c>
      <c r="G2098" s="1100">
        <v>1.0140225016680491</v>
      </c>
      <c r="H2098" s="1100">
        <v>0.99884605769666857</v>
      </c>
      <c r="I2098" s="1100">
        <v>0.99741431924774038</v>
      </c>
      <c r="K2098">
        <v>1.1408868291225118</v>
      </c>
      <c r="L2098">
        <v>0</v>
      </c>
      <c r="M2098">
        <v>7.2290637890564822E-4</v>
      </c>
      <c r="N2098">
        <v>7.5057050099334652E-2</v>
      </c>
      <c r="O2098">
        <v>1.0178633351902335E-2</v>
      </c>
      <c r="P2098">
        <v>1.380761558207081E-2</v>
      </c>
      <c r="Q2098">
        <v>4.599239976879134E-4</v>
      </c>
      <c r="R2098">
        <v>7.213034691393713E-4</v>
      </c>
      <c r="S2098">
        <v>7.13997397126033E-2</v>
      </c>
      <c r="T2098">
        <v>0.8198358902765055</v>
      </c>
      <c r="U2098">
        <v>0</v>
      </c>
      <c r="V2098">
        <v>9.2248099817783674E-2</v>
      </c>
      <c r="W2098">
        <v>4.8166539891401183E-2</v>
      </c>
      <c r="X2098">
        <v>7.7717890376165595E-3</v>
      </c>
      <c r="Y2098">
        <v>1.9631502653726708E-3</v>
      </c>
    </row>
    <row r="2099" spans="1:25" x14ac:dyDescent="0.25">
      <c r="A2099" s="1096"/>
      <c r="B2099" s="1455">
        <v>1849</v>
      </c>
      <c r="C2099" s="1100">
        <v>0.98729568619041808</v>
      </c>
      <c r="D2099" s="1100">
        <v>1.0246564066822552</v>
      </c>
      <c r="E2099" s="1100">
        <v>0.9818569410993121</v>
      </c>
      <c r="F2099" s="1100">
        <v>1.0074995466524315</v>
      </c>
      <c r="G2099" s="1100">
        <v>1.0227971046357396</v>
      </c>
      <c r="H2099" s="1100">
        <v>0.96978996450067467</v>
      </c>
      <c r="I2099" s="1100">
        <v>0.96216628743845445</v>
      </c>
      <c r="K2099">
        <v>1.1478683151832734</v>
      </c>
      <c r="L2099">
        <v>0</v>
      </c>
      <c r="M2099">
        <v>8.0877561238016813E-4</v>
      </c>
      <c r="N2099">
        <v>7.0447737180720685E-2</v>
      </c>
      <c r="O2099">
        <v>1.0374851807852508E-2</v>
      </c>
      <c r="P2099">
        <v>1.3412872071327802E-2</v>
      </c>
      <c r="Q2099">
        <v>4.4232694849316671E-4</v>
      </c>
      <c r="R2099">
        <v>8.0692857391700674E-4</v>
      </c>
      <c r="S2099">
        <v>6.8922808428378252E-2</v>
      </c>
      <c r="T2099">
        <v>0.83505554800822523</v>
      </c>
      <c r="U2099">
        <v>0</v>
      </c>
      <c r="V2099">
        <v>9.3386819040000915E-2</v>
      </c>
      <c r="W2099">
        <v>4.6784751014778206E-2</v>
      </c>
      <c r="X2099">
        <v>6.8462541476893473E-3</v>
      </c>
      <c r="Y2099">
        <v>2.1961935742691907E-3</v>
      </c>
    </row>
    <row r="2100" spans="1:25" x14ac:dyDescent="0.25">
      <c r="A2100" s="1096"/>
      <c r="B2100" s="1455">
        <v>1850</v>
      </c>
      <c r="C2100" s="1100">
        <v>1.0346125921925271</v>
      </c>
      <c r="D2100" s="1100">
        <v>1.0455335883073134</v>
      </c>
      <c r="E2100" s="1100">
        <v>1.0191629245599592</v>
      </c>
      <c r="F2100" s="1100">
        <v>0.98269378187288325</v>
      </c>
      <c r="G2100" s="1100">
        <v>1.0136753928732938</v>
      </c>
      <c r="H2100" s="1100">
        <v>1.0151346111880493</v>
      </c>
      <c r="I2100" s="1100">
        <v>1.038626443539294</v>
      </c>
      <c r="K2100">
        <v>1.1284062645525852</v>
      </c>
      <c r="L2100">
        <v>0</v>
      </c>
      <c r="M2100">
        <v>7.4170268309912252E-4</v>
      </c>
      <c r="N2100">
        <v>7.2320351114878001E-2</v>
      </c>
      <c r="O2100">
        <v>9.8324081752241069E-3</v>
      </c>
      <c r="P2100">
        <v>1.349701075643482E-2</v>
      </c>
      <c r="Q2100">
        <v>4.3521406985243456E-4</v>
      </c>
      <c r="R2100">
        <v>7.4008448460539196E-4</v>
      </c>
      <c r="S2100">
        <v>7.2126619248091661E-2</v>
      </c>
      <c r="T2100">
        <v>0.8120690668766074</v>
      </c>
      <c r="U2100">
        <v>0</v>
      </c>
      <c r="V2100">
        <v>9.185381711194994E-2</v>
      </c>
      <c r="W2100">
        <v>4.6975540680785008E-2</v>
      </c>
      <c r="X2100">
        <v>7.2835887189447585E-3</v>
      </c>
      <c r="Y2100">
        <v>2.0142659983110947E-3</v>
      </c>
    </row>
    <row r="2101" spans="1:25" x14ac:dyDescent="0.25">
      <c r="A2101" s="1096"/>
      <c r="B2101" s="1455">
        <v>1851</v>
      </c>
      <c r="C2101" s="1100">
        <v>1.0063345803672916</v>
      </c>
      <c r="D2101" s="1100">
        <v>1.0183919095687992</v>
      </c>
      <c r="E2101" s="1100">
        <v>1.0091156971250566</v>
      </c>
      <c r="F2101" s="1100">
        <v>0.99194288875957781</v>
      </c>
      <c r="G2101" s="1100">
        <v>1.0073441892836756</v>
      </c>
      <c r="H2101" s="1100">
        <v>1.0117645618717435</v>
      </c>
      <c r="I2101" s="1100">
        <v>0.98592564557241413</v>
      </c>
      <c r="K2101">
        <v>1.1400112085251048</v>
      </c>
      <c r="L2101">
        <v>0</v>
      </c>
      <c r="M2101">
        <v>7.8426183292533815E-4</v>
      </c>
      <c r="N2101">
        <v>7.4185551611405443E-2</v>
      </c>
      <c r="O2101">
        <v>1.0212363099969196E-2</v>
      </c>
      <c r="P2101">
        <v>1.3504032278350836E-2</v>
      </c>
      <c r="Q2101">
        <v>4.4752503639995368E-4</v>
      </c>
      <c r="R2101">
        <v>7.8254508237923445E-4</v>
      </c>
      <c r="S2101">
        <v>7.11993338774181E-2</v>
      </c>
      <c r="T2101">
        <v>0.82036750409629222</v>
      </c>
      <c r="U2101">
        <v>0</v>
      </c>
      <c r="V2101">
        <v>9.2254984538744533E-2</v>
      </c>
      <c r="W2101">
        <v>4.8472481251127957E-2</v>
      </c>
      <c r="X2101">
        <v>7.2393197376225613E-3</v>
      </c>
      <c r="Y2101">
        <v>2.1298297483192002E-3</v>
      </c>
    </row>
    <row r="2102" spans="1:25" x14ac:dyDescent="0.25">
      <c r="A2102" s="1096"/>
      <c r="B2102" s="1455">
        <v>1852</v>
      </c>
      <c r="C2102" s="1100">
        <v>0.97768983260262088</v>
      </c>
      <c r="D2102" s="1100">
        <v>0.99968158550453179</v>
      </c>
      <c r="E2102" s="1100">
        <v>0.98466948953221678</v>
      </c>
      <c r="F2102" s="1100">
        <v>0.97691162016748201</v>
      </c>
      <c r="G2102" s="1100">
        <v>0.99228736542990648</v>
      </c>
      <c r="H2102" s="1100">
        <v>0.99726645177587236</v>
      </c>
      <c r="I2102" s="1100">
        <v>1.0019106980928907</v>
      </c>
      <c r="K2102">
        <v>1.1329316314453304</v>
      </c>
      <c r="L2102">
        <v>0</v>
      </c>
      <c r="M2102">
        <v>8.4327122052593761E-4</v>
      </c>
      <c r="N2102">
        <v>7.408470342418319E-2</v>
      </c>
      <c r="O2102">
        <v>1.0581645703112567E-2</v>
      </c>
      <c r="P2102">
        <v>1.3159078226681224E-2</v>
      </c>
      <c r="Q2102">
        <v>4.5243267909224078E-4</v>
      </c>
      <c r="R2102">
        <v>8.4139846258542194E-4</v>
      </c>
      <c r="S2102">
        <v>7.4550487839184026E-2</v>
      </c>
      <c r="T2102">
        <v>0.80951966895507865</v>
      </c>
      <c r="U2102">
        <v>0</v>
      </c>
      <c r="V2102">
        <v>9.2329044131422192E-2</v>
      </c>
      <c r="W2102">
        <v>4.9116812060268071E-2</v>
      </c>
      <c r="X2102">
        <v>6.8496219360175796E-3</v>
      </c>
      <c r="Y2102">
        <v>2.2900092482288706E-3</v>
      </c>
    </row>
    <row r="2103" spans="1:25" x14ac:dyDescent="0.25">
      <c r="A2103" s="1096"/>
      <c r="B2103" s="1455">
        <v>1853</v>
      </c>
      <c r="C2103" s="1100">
        <v>1.0202060531436807</v>
      </c>
      <c r="D2103" s="1100">
        <v>0.99304502974009301</v>
      </c>
      <c r="E2103" s="1100">
        <v>1.011771479661826</v>
      </c>
      <c r="F2103" s="1100">
        <v>1.0198582494212494</v>
      </c>
      <c r="G2103" s="1100">
        <v>0.95698681414604903</v>
      </c>
      <c r="H2103" s="1100">
        <v>0.99936600523778418</v>
      </c>
      <c r="I2103" s="1100">
        <v>1.0214713485146512</v>
      </c>
      <c r="K2103">
        <v>1.16111405637583</v>
      </c>
      <c r="L2103">
        <v>0</v>
      </c>
      <c r="M2103">
        <v>7.6761375588358445E-4</v>
      </c>
      <c r="N2103">
        <v>7.3193270366384719E-2</v>
      </c>
      <c r="O2103">
        <v>1.0176435186903154E-2</v>
      </c>
      <c r="P2103">
        <v>1.3838994047808537E-2</v>
      </c>
      <c r="Q2103">
        <v>4.4713580993508149E-4</v>
      </c>
      <c r="R2103">
        <v>7.6591260139871056E-4</v>
      </c>
      <c r="S2103">
        <v>7.3205808023406288E-2</v>
      </c>
      <c r="T2103">
        <v>0.84327597174417934</v>
      </c>
      <c r="U2103">
        <v>0</v>
      </c>
      <c r="V2103">
        <v>8.9767914514956554E-2</v>
      </c>
      <c r="W2103">
        <v>4.7749319151535623E-2</v>
      </c>
      <c r="X2103">
        <v>7.3763470672175251E-3</v>
      </c>
      <c r="Y2103">
        <v>2.0845616179860954E-3</v>
      </c>
    </row>
    <row r="2104" spans="1:25" x14ac:dyDescent="0.25">
      <c r="A2104" s="1096"/>
      <c r="B2104" s="1455">
        <v>1854</v>
      </c>
      <c r="C2104" s="1100">
        <v>0.99831990857231001</v>
      </c>
      <c r="D2104" s="1100">
        <v>1.0464848668793505</v>
      </c>
      <c r="E2104" s="1100">
        <v>0.97898990436613986</v>
      </c>
      <c r="F2104" s="1100">
        <v>1.009374700871926</v>
      </c>
      <c r="G2104" s="1100">
        <v>0.98096118295867263</v>
      </c>
      <c r="H2104" s="1100">
        <v>1.0025056969185842</v>
      </c>
      <c r="I2104" s="1100">
        <v>0.98760939029952988</v>
      </c>
      <c r="K2104">
        <v>1.1502429034494237</v>
      </c>
      <c r="L2104">
        <v>0</v>
      </c>
      <c r="M2104">
        <v>8.2476019700542587E-4</v>
      </c>
      <c r="N2104">
        <v>7.1224906291311063E-2</v>
      </c>
      <c r="O2104">
        <v>1.017321572756901E-2</v>
      </c>
      <c r="P2104">
        <v>1.3400539161841639E-2</v>
      </c>
      <c r="Q2104">
        <v>4.3246851325440196E-4</v>
      </c>
      <c r="R2104">
        <v>8.2293812127982033E-4</v>
      </c>
      <c r="S2104">
        <v>7.0499066506832048E-2</v>
      </c>
      <c r="T2104">
        <v>0.83680317464504028</v>
      </c>
      <c r="U2104">
        <v>0</v>
      </c>
      <c r="V2104">
        <v>9.132016858344498E-2</v>
      </c>
      <c r="W2104">
        <v>4.738280345296321E-2</v>
      </c>
      <c r="X2104">
        <v>6.768616358246899E-3</v>
      </c>
      <c r="Y2104">
        <v>2.2397662846448995E-3</v>
      </c>
    </row>
    <row r="2105" spans="1:25" x14ac:dyDescent="0.25">
      <c r="A2105" s="1096"/>
      <c r="B2105" s="1455">
        <v>1855</v>
      </c>
      <c r="C2105" s="1100">
        <v>0.98857419177682915</v>
      </c>
      <c r="D2105" s="1100">
        <v>0.99189953072924564</v>
      </c>
      <c r="E2105" s="1100">
        <v>1.0035148134038656</v>
      </c>
      <c r="F2105" s="1100">
        <v>1.0012011274176515</v>
      </c>
      <c r="G2105" s="1100">
        <v>1.0115588609665129</v>
      </c>
      <c r="H2105" s="1100">
        <v>0.97455834238920303</v>
      </c>
      <c r="I2105" s="1100">
        <v>1.0134433192065397</v>
      </c>
      <c r="K2105">
        <v>1.150217486969153</v>
      </c>
      <c r="L2105">
        <v>0</v>
      </c>
      <c r="M2105">
        <v>7.8623437078117467E-4</v>
      </c>
      <c r="N2105">
        <v>7.3118690279929968E-2</v>
      </c>
      <c r="O2105">
        <v>1.0504159101874284E-2</v>
      </c>
      <c r="P2105">
        <v>1.3603837481102804E-2</v>
      </c>
      <c r="Q2105">
        <v>4.5773684456486345E-4</v>
      </c>
      <c r="R2105">
        <v>7.8444759622358815E-4</v>
      </c>
      <c r="S2105">
        <v>7.3950817444156436E-2</v>
      </c>
      <c r="T2105">
        <v>0.82839445760871089</v>
      </c>
      <c r="U2105">
        <v>0</v>
      </c>
      <c r="V2105">
        <v>9.2876805326433401E-2</v>
      </c>
      <c r="W2105">
        <v>4.7933908828891814E-2</v>
      </c>
      <c r="X2105">
        <v>7.2438530642068271E-3</v>
      </c>
      <c r="Y2105">
        <v>2.1350077638400099E-3</v>
      </c>
    </row>
    <row r="2106" spans="1:25" x14ac:dyDescent="0.25">
      <c r="A2106" s="1096"/>
      <c r="B2106" s="1455">
        <v>1856</v>
      </c>
      <c r="C2106" s="1100">
        <v>1.0030798635851235</v>
      </c>
      <c r="D2106" s="1100">
        <v>1.0433100202136301</v>
      </c>
      <c r="E2106" s="1100">
        <v>0.95953220937035733</v>
      </c>
      <c r="F2106" s="1100">
        <v>0.96143690329263343</v>
      </c>
      <c r="G2106" s="1100">
        <v>0.97416463959359756</v>
      </c>
      <c r="H2106" s="1100">
        <v>1.0288198892408229</v>
      </c>
      <c r="I2106" s="1100">
        <v>0.98952854414544289</v>
      </c>
      <c r="K2106">
        <v>1.112154471849774</v>
      </c>
      <c r="L2106">
        <v>0</v>
      </c>
      <c r="M2106">
        <v>8.779819183875816E-4</v>
      </c>
      <c r="N2106">
        <v>7.1486855598294347E-2</v>
      </c>
      <c r="O2106">
        <v>1.0131042525048291E-2</v>
      </c>
      <c r="P2106">
        <v>1.2699930470073464E-2</v>
      </c>
      <c r="Q2106">
        <v>4.2219183313393503E-4</v>
      </c>
      <c r="R2106">
        <v>8.7609187489370952E-4</v>
      </c>
      <c r="S2106">
        <v>7.1425989038761462E-2</v>
      </c>
      <c r="T2106">
        <v>0.79831835865705192</v>
      </c>
      <c r="U2106">
        <v>0</v>
      </c>
      <c r="V2106">
        <v>9.0909001262589814E-2</v>
      </c>
      <c r="W2106">
        <v>4.8123955871014014E-2</v>
      </c>
      <c r="X2106">
        <v>6.2546033574490192E-3</v>
      </c>
      <c r="Y2106">
        <v>2.3844332798517364E-3</v>
      </c>
    </row>
    <row r="2107" spans="1:25" x14ac:dyDescent="0.25">
      <c r="A2107" s="1096"/>
      <c r="B2107" s="1455">
        <v>1857</v>
      </c>
      <c r="C2107" s="1100">
        <v>1.0151417401077434</v>
      </c>
      <c r="D2107" s="1100">
        <v>0.99872534365892762</v>
      </c>
      <c r="E2107" s="1100">
        <v>1.0228392899641536</v>
      </c>
      <c r="F2107" s="1100">
        <v>0.95843920331537014</v>
      </c>
      <c r="G2107" s="1100">
        <v>1.0336291463086058</v>
      </c>
      <c r="H2107" s="1100">
        <v>0.99198173962864689</v>
      </c>
      <c r="I2107" s="1100">
        <v>1.0101059646073496</v>
      </c>
      <c r="K2107">
        <v>1.1118302399495348</v>
      </c>
      <c r="L2107">
        <v>0</v>
      </c>
      <c r="M2107">
        <v>7.4661239360778082E-4</v>
      </c>
      <c r="N2107">
        <v>7.3607154010733034E-2</v>
      </c>
      <c r="O2107">
        <v>1.0207475903410432E-2</v>
      </c>
      <c r="P2107">
        <v>1.3272346678697172E-2</v>
      </c>
      <c r="Q2107">
        <v>4.5346919776239957E-4</v>
      </c>
      <c r="R2107">
        <v>7.449454646354318E-4</v>
      </c>
      <c r="S2107">
        <v>7.2253449222869914E-2</v>
      </c>
      <c r="T2107">
        <v>0.79179492148012376</v>
      </c>
      <c r="U2107">
        <v>0</v>
      </c>
      <c r="V2107">
        <v>9.31667562368131E-2</v>
      </c>
      <c r="W2107">
        <v>4.7708736143218161E-2</v>
      </c>
      <c r="X2107">
        <v>7.3401020213487225E-3</v>
      </c>
      <c r="Y2107">
        <v>2.0274959835312268E-3</v>
      </c>
    </row>
    <row r="2108" spans="1:25" x14ac:dyDescent="0.25">
      <c r="A2108" s="1096"/>
      <c r="B2108" s="1455">
        <v>1858</v>
      </c>
      <c r="C2108" s="1100">
        <v>1.0149403180436782</v>
      </c>
      <c r="D2108" s="1100">
        <v>1.000060543985944</v>
      </c>
      <c r="E2108" s="1100">
        <v>0.98605051889019379</v>
      </c>
      <c r="F2108" s="1100">
        <v>1.0101417318050065</v>
      </c>
      <c r="G2108" s="1100">
        <v>0.97560580436870181</v>
      </c>
      <c r="H2108" s="1100">
        <v>1.0122003739282588</v>
      </c>
      <c r="I2108" s="1100">
        <v>1.0203386846161782</v>
      </c>
      <c r="K2108">
        <v>1.1552231124887533</v>
      </c>
      <c r="L2108">
        <v>0</v>
      </c>
      <c r="M2108">
        <v>8.2200802139378805E-4</v>
      </c>
      <c r="N2108">
        <v>7.2521299935250222E-2</v>
      </c>
      <c r="O2108">
        <v>1.0192175713859197E-2</v>
      </c>
      <c r="P2108">
        <v>1.3509784576639521E-2</v>
      </c>
      <c r="Q2108">
        <v>4.363906598382597E-4</v>
      </c>
      <c r="R2108">
        <v>8.2020941911214735E-4</v>
      </c>
      <c r="S2108">
        <v>7.3733231684809941E-2</v>
      </c>
      <c r="T2108">
        <v>0.83696284493051976</v>
      </c>
      <c r="U2108">
        <v>0</v>
      </c>
      <c r="V2108">
        <v>9.0685779125313906E-2</v>
      </c>
      <c r="W2108">
        <v>4.8040396358187396E-2</v>
      </c>
      <c r="X2108">
        <v>6.9106684497538913E-3</v>
      </c>
      <c r="Y2108">
        <v>2.2323396568609218E-3</v>
      </c>
    </row>
    <row r="2109" spans="1:25" x14ac:dyDescent="0.25">
      <c r="A2109" s="1096"/>
      <c r="B2109" s="1455">
        <v>1859</v>
      </c>
      <c r="C2109" s="1100">
        <v>1.0033661851248026</v>
      </c>
      <c r="D2109" s="1100">
        <v>1.0054124205340844</v>
      </c>
      <c r="E2109" s="1100">
        <v>0.96536624241440072</v>
      </c>
      <c r="F2109" s="1100">
        <v>1.0161575852310658</v>
      </c>
      <c r="G2109" s="1100">
        <v>0.99213668811878275</v>
      </c>
      <c r="H2109" s="1100">
        <v>1.0107511397731894</v>
      </c>
      <c r="I2109" s="1100">
        <v>1.0155455875881751</v>
      </c>
      <c r="K2109">
        <v>1.1617616254047398</v>
      </c>
      <c r="L2109">
        <v>0</v>
      </c>
      <c r="M2109">
        <v>8.6470881992882227E-4</v>
      </c>
      <c r="N2109">
        <v>7.1658836418985614E-2</v>
      </c>
      <c r="O2109">
        <v>1.0281052383894847E-2</v>
      </c>
      <c r="P2109">
        <v>1.3398926421068628E-2</v>
      </c>
      <c r="Q2109">
        <v>4.3101643419389638E-4</v>
      </c>
      <c r="R2109">
        <v>8.6281407293410444E-4</v>
      </c>
      <c r="S2109">
        <v>7.3946514698670043E-2</v>
      </c>
      <c r="T2109">
        <v>0.84335538343430094</v>
      </c>
      <c r="U2109">
        <v>0</v>
      </c>
      <c r="V2109">
        <v>9.1671517527519203E-2</v>
      </c>
      <c r="W2109">
        <v>4.8067718180492019E-2</v>
      </c>
      <c r="X2109">
        <v>6.6042591726653615E-3</v>
      </c>
      <c r="Y2109">
        <v>2.3482954799439312E-3</v>
      </c>
    </row>
    <row r="2110" spans="1:25" x14ac:dyDescent="0.25">
      <c r="A2110" s="1096"/>
      <c r="B2110" s="1455">
        <v>1860</v>
      </c>
      <c r="C2110" s="1100">
        <v>0.9842324311601518</v>
      </c>
      <c r="D2110" s="1100">
        <v>0.9835436469554214</v>
      </c>
      <c r="E2110" s="1100">
        <v>0.97650023844235712</v>
      </c>
      <c r="F2110" s="1100">
        <v>0.99622102243559008</v>
      </c>
      <c r="G2110" s="1100">
        <v>1.0065452569946862</v>
      </c>
      <c r="H2110" s="1100">
        <v>0.97980754679894311</v>
      </c>
      <c r="I2110" s="1100">
        <v>0.98863005992707353</v>
      </c>
      <c r="K2110">
        <v>1.145474768845494</v>
      </c>
      <c r="L2110">
        <v>0</v>
      </c>
      <c r="M2110">
        <v>8.4248930054695113E-4</v>
      </c>
      <c r="N2110">
        <v>7.2206164826122077E-2</v>
      </c>
      <c r="O2110">
        <v>1.0577229909321717E-2</v>
      </c>
      <c r="P2110">
        <v>1.328374105263622E-2</v>
      </c>
      <c r="Q2110">
        <v>4.4850555351049165E-4</v>
      </c>
      <c r="R2110">
        <v>8.4058493992864752E-4</v>
      </c>
      <c r="S2110">
        <v>7.2959199238517639E-2</v>
      </c>
      <c r="T2110">
        <v>0.82606435527697064</v>
      </c>
      <c r="U2110">
        <v>0</v>
      </c>
      <c r="V2110">
        <v>9.2769187715825971E-2</v>
      </c>
      <c r="W2110">
        <v>4.8107988199956299E-2</v>
      </c>
      <c r="X2110">
        <v>6.7725063255155539E-3</v>
      </c>
      <c r="Y2110">
        <v>2.2877951077348037E-3</v>
      </c>
    </row>
    <row r="2111" spans="1:25" x14ac:dyDescent="0.25">
      <c r="A2111" s="1096"/>
      <c r="B2111" s="1455">
        <v>1861</v>
      </c>
      <c r="C2111" s="1100">
        <v>0.99337332555999136</v>
      </c>
      <c r="D2111" s="1100">
        <v>0.99787399330747573</v>
      </c>
      <c r="E2111" s="1100">
        <v>1.0155128148822472</v>
      </c>
      <c r="F2111" s="1100">
        <v>1.0155726714738471</v>
      </c>
      <c r="G2111" s="1100">
        <v>1.00956813713834</v>
      </c>
      <c r="H2111" s="1100">
        <v>0.98338061324549808</v>
      </c>
      <c r="I2111" s="1100">
        <v>1.014396479714347</v>
      </c>
      <c r="K2111">
        <v>1.1626224198342059</v>
      </c>
      <c r="L2111">
        <v>0</v>
      </c>
      <c r="M2111">
        <v>7.6823665319207003E-4</v>
      </c>
      <c r="N2111">
        <v>7.408185158627921E-2</v>
      </c>
      <c r="O2111">
        <v>1.0432294539532164E-2</v>
      </c>
      <c r="P2111">
        <v>1.3873454598130185E-2</v>
      </c>
      <c r="Q2111">
        <v>4.6009193062892243E-4</v>
      </c>
      <c r="R2111">
        <v>7.665064426271137E-4</v>
      </c>
      <c r="S2111">
        <v>7.3816405484750866E-2</v>
      </c>
      <c r="T2111">
        <v>0.8394825437071356</v>
      </c>
      <c r="U2111">
        <v>0</v>
      </c>
      <c r="V2111">
        <v>9.2672420310331752E-2</v>
      </c>
      <c r="W2111">
        <v>4.822280554520858E-2</v>
      </c>
      <c r="X2111">
        <v>7.4961044847222736E-3</v>
      </c>
      <c r="Y2111">
        <v>2.0861778580501008E-3</v>
      </c>
    </row>
    <row r="2112" spans="1:25" x14ac:dyDescent="0.25">
      <c r="A2112" s="1096"/>
      <c r="B2112" s="1455">
        <v>1862</v>
      </c>
      <c r="C2112" s="1100">
        <v>0.99287908215627962</v>
      </c>
      <c r="D2112" s="1100">
        <v>1.0035722715597548</v>
      </c>
      <c r="E2112" s="1100">
        <v>0.9812497195521549</v>
      </c>
      <c r="F2112" s="1100">
        <v>1.0056540267359551</v>
      </c>
      <c r="G2112" s="1100">
        <v>0.99803851877705063</v>
      </c>
      <c r="H2112" s="1100">
        <v>0.98831872581171809</v>
      </c>
      <c r="I2112" s="1100">
        <v>1.0013583992775226</v>
      </c>
      <c r="K2112">
        <v>1.1517186639756654</v>
      </c>
      <c r="L2112">
        <v>0</v>
      </c>
      <c r="M2112">
        <v>8.2747626103909079E-4</v>
      </c>
      <c r="N2112">
        <v>7.194744337144332E-2</v>
      </c>
      <c r="O2112">
        <v>1.0402465946058493E-2</v>
      </c>
      <c r="P2112">
        <v>1.3423418532771627E-2</v>
      </c>
      <c r="Q2112">
        <v>4.4323086368868846E-4</v>
      </c>
      <c r="R2112">
        <v>8.2562194353795666E-4</v>
      </c>
      <c r="S2112">
        <v>7.2852816742202078E-2</v>
      </c>
      <c r="T2112">
        <v>0.83356670082596163</v>
      </c>
      <c r="U2112">
        <v>0</v>
      </c>
      <c r="V2112">
        <v>9.218681457821884E-2</v>
      </c>
      <c r="W2112">
        <v>4.7798215265404169E-2</v>
      </c>
      <c r="X2112">
        <v>6.8523414033063194E-3</v>
      </c>
      <c r="Y2112">
        <v>2.2470707641097771E-3</v>
      </c>
    </row>
    <row r="2113" spans="1:25" x14ac:dyDescent="0.25">
      <c r="A2113" s="1096"/>
      <c r="B2113" s="1455">
        <v>1863</v>
      </c>
      <c r="C2113" s="1100">
        <v>0.99988272784428489</v>
      </c>
      <c r="D2113" s="1100">
        <v>1.0302546311268734</v>
      </c>
      <c r="E2113" s="1100">
        <v>0.99311736286973806</v>
      </c>
      <c r="F2113" s="1100">
        <v>0.9880555241808654</v>
      </c>
      <c r="G2113" s="1100">
        <v>0.98763154176205026</v>
      </c>
      <c r="H2113" s="1100">
        <v>1.028882265314222</v>
      </c>
      <c r="I2113" s="1100">
        <v>0.98886098066628658</v>
      </c>
      <c r="K2113">
        <v>1.1386082828496451</v>
      </c>
      <c r="L2113">
        <v>0</v>
      </c>
      <c r="M2113">
        <v>8.2593048437202101E-4</v>
      </c>
      <c r="N2113">
        <v>7.4443699387740134E-2</v>
      </c>
      <c r="O2113">
        <v>1.0225580236149829E-2</v>
      </c>
      <c r="P2113">
        <v>1.3317429100280054E-2</v>
      </c>
      <c r="Q2113">
        <v>4.4096016274828821E-4</v>
      </c>
      <c r="R2113">
        <v>8.2415260049169118E-4</v>
      </c>
      <c r="S2113">
        <v>7.2109290967249065E-2</v>
      </c>
      <c r="T2113">
        <v>0.8181984757452998</v>
      </c>
      <c r="U2113">
        <v>0</v>
      </c>
      <c r="V2113">
        <v>9.156871969041179E-2</v>
      </c>
      <c r="W2113">
        <v>4.9105458201550801E-2</v>
      </c>
      <c r="X2113">
        <v>6.9573755453887168E-3</v>
      </c>
      <c r="Y2113">
        <v>2.2430716967066474E-3</v>
      </c>
    </row>
    <row r="2114" spans="1:25" x14ac:dyDescent="0.25">
      <c r="A2114" s="1096"/>
      <c r="B2114" s="1455">
        <v>1864</v>
      </c>
      <c r="C2114" s="1100">
        <v>0.98703329963574571</v>
      </c>
      <c r="D2114" s="1100">
        <v>1.0190850779500698</v>
      </c>
      <c r="E2114" s="1100">
        <v>0.99709307414296555</v>
      </c>
      <c r="F2114" s="1100">
        <v>0.97055989464737291</v>
      </c>
      <c r="G2114" s="1100">
        <v>1.011993943032834</v>
      </c>
      <c r="H2114" s="1100">
        <v>1.0305371879417358</v>
      </c>
      <c r="I2114" s="1100">
        <v>1.0115001501027585</v>
      </c>
      <c r="K2114">
        <v>1.1312246390949876</v>
      </c>
      <c r="L2114">
        <v>0</v>
      </c>
      <c r="M2114">
        <v>8.3478294695101094E-4</v>
      </c>
      <c r="N2114">
        <v>7.6151404862079428E-2</v>
      </c>
      <c r="O2114">
        <v>1.0405272238519695E-2</v>
      </c>
      <c r="P2114">
        <v>1.3217485040373926E-2</v>
      </c>
      <c r="Q2114">
        <v>4.5051071693692464E-4</v>
      </c>
      <c r="R2114">
        <v>8.3298889308613976E-4</v>
      </c>
      <c r="S2114">
        <v>7.5210974405956921E-2</v>
      </c>
      <c r="T2114">
        <v>0.80345445371352486</v>
      </c>
      <c r="U2114">
        <v>0</v>
      </c>
      <c r="V2114">
        <v>9.2933599816345275E-2</v>
      </c>
      <c r="W2114">
        <v>5.0112901750968324E-2</v>
      </c>
      <c r="X2114">
        <v>7.0227094318802731E-3</v>
      </c>
      <c r="Y2114">
        <v>2.2671211722656657E-3</v>
      </c>
    </row>
    <row r="2115" spans="1:25" x14ac:dyDescent="0.25">
      <c r="A2115" s="1096"/>
      <c r="B2115" s="1455">
        <v>1865</v>
      </c>
      <c r="C2115" s="1100">
        <v>1.0258116328476155</v>
      </c>
      <c r="D2115" s="1100">
        <v>1.0338988560898887</v>
      </c>
      <c r="E2115" s="1100">
        <v>0.98102666225537782</v>
      </c>
      <c r="F2115" s="1100">
        <v>0.98043396011860184</v>
      </c>
      <c r="G2115" s="1100">
        <v>0.96378229323378894</v>
      </c>
      <c r="H2115" s="1100">
        <v>1.0076421730130429</v>
      </c>
      <c r="I2115" s="1100">
        <v>1.0148117329215827</v>
      </c>
      <c r="K2115">
        <v>1.1227887867818906</v>
      </c>
      <c r="L2115">
        <v>0</v>
      </c>
      <c r="M2115">
        <v>8.0727626531490882E-4</v>
      </c>
      <c r="N2115">
        <v>7.0146762651844996E-2</v>
      </c>
      <c r="O2115">
        <v>9.9492473343731763E-3</v>
      </c>
      <c r="P2115">
        <v>1.3086968254724687E-2</v>
      </c>
      <c r="Q2115">
        <v>4.2382397474365188E-4</v>
      </c>
      <c r="R2115">
        <v>8.05501906591188E-4</v>
      </c>
      <c r="S2115">
        <v>7.1143919467081845E-2</v>
      </c>
      <c r="T2115">
        <v>0.81267689923947495</v>
      </c>
      <c r="U2115">
        <v>0</v>
      </c>
      <c r="V2115">
        <v>8.9920705766977346E-2</v>
      </c>
      <c r="W2115">
        <v>4.6608206196614599E-2</v>
      </c>
      <c r="X2115">
        <v>6.64171759866826E-3</v>
      </c>
      <c r="Y2115">
        <v>2.1923106561090697E-3</v>
      </c>
    </row>
    <row r="2116" spans="1:25" x14ac:dyDescent="0.25">
      <c r="A2116" s="1096"/>
      <c r="B2116" s="1455">
        <v>1866</v>
      </c>
      <c r="C2116" s="1100">
        <v>1.0190327017393763</v>
      </c>
      <c r="D2116" s="1100">
        <v>0.99494648250368323</v>
      </c>
      <c r="E2116" s="1100">
        <v>1.0000085236656817</v>
      </c>
      <c r="F2116" s="1100">
        <v>1.0099041385505463</v>
      </c>
      <c r="G2116" s="1100">
        <v>1.0343413741143124</v>
      </c>
      <c r="H2116" s="1100">
        <v>1.0149768358444013</v>
      </c>
      <c r="I2116" s="1100">
        <v>0.98420634518027617</v>
      </c>
      <c r="K2116">
        <v>1.1555099869878422</v>
      </c>
      <c r="L2116">
        <v>0</v>
      </c>
      <c r="M2116">
        <v>7.9918658133063219E-4</v>
      </c>
      <c r="N2116">
        <v>7.3546829326312818E-2</v>
      </c>
      <c r="O2116">
        <v>1.0176570727090498E-2</v>
      </c>
      <c r="P2116">
        <v>1.363447369784738E-2</v>
      </c>
      <c r="Q2116">
        <v>4.4190292635324285E-4</v>
      </c>
      <c r="R2116">
        <v>7.9744269718059807E-4</v>
      </c>
      <c r="S2116">
        <v>7.114826763670147E-2</v>
      </c>
      <c r="T2116">
        <v>0.83582956468858982</v>
      </c>
      <c r="U2116">
        <v>0</v>
      </c>
      <c r="V2116">
        <v>9.3100999977967447E-2</v>
      </c>
      <c r="W2116">
        <v>4.8315022455384306E-2</v>
      </c>
      <c r="X2116">
        <v>7.1477232909338464E-3</v>
      </c>
      <c r="Y2116">
        <v>2.1703761448111122E-3</v>
      </c>
    </row>
    <row r="2117" spans="1:25" x14ac:dyDescent="0.25">
      <c r="A2117" s="1096"/>
      <c r="B2117" s="1455">
        <v>1867</v>
      </c>
      <c r="C2117" s="1100">
        <v>0.96958454476027922</v>
      </c>
      <c r="D2117" s="1100">
        <v>0.97477999236187807</v>
      </c>
      <c r="E2117" s="1100">
        <v>1.0222625944497425</v>
      </c>
      <c r="F2117" s="1100">
        <v>1.0091946723788121</v>
      </c>
      <c r="G2117" s="1100">
        <v>0.99840391894402747</v>
      </c>
      <c r="H2117" s="1100">
        <v>1.0086193634800331</v>
      </c>
      <c r="I2117" s="1100">
        <v>0.98761508034380563</v>
      </c>
      <c r="K2117">
        <v>1.1675753033012579</v>
      </c>
      <c r="L2117">
        <v>0</v>
      </c>
      <c r="M2117">
        <v>8.0352042223473107E-4</v>
      </c>
      <c r="N2117">
        <v>7.9082857142804275E-2</v>
      </c>
      <c r="O2117">
        <v>1.0791137038841539E-2</v>
      </c>
      <c r="P2117">
        <v>1.3889626304743743E-2</v>
      </c>
      <c r="Q2117">
        <v>4.791240787983333E-4</v>
      </c>
      <c r="R2117">
        <v>8.0175602976475472E-4</v>
      </c>
      <c r="S2117">
        <v>7.5588853849389126E-2</v>
      </c>
      <c r="T2117">
        <v>0.83376361862195014</v>
      </c>
      <c r="U2117">
        <v>0</v>
      </c>
      <c r="V2117">
        <v>9.2808683783985671E-2</v>
      </c>
      <c r="W2117">
        <v>5.1275094941226472E-2</v>
      </c>
      <c r="X2117">
        <v>7.7159563177726541E-3</v>
      </c>
      <c r="Y2117">
        <v>2.182115614215482E-3</v>
      </c>
    </row>
    <row r="2118" spans="1:25" x14ac:dyDescent="0.25">
      <c r="A2118" s="1096"/>
      <c r="B2118" s="1455">
        <v>1868</v>
      </c>
      <c r="C2118" s="1100">
        <v>1.0038195975999591</v>
      </c>
      <c r="D2118" s="1100">
        <v>1.0024440417155727</v>
      </c>
      <c r="E2118" s="1100">
        <v>1.0001753678868073</v>
      </c>
      <c r="F2118" s="1100">
        <v>0.98758697065679801</v>
      </c>
      <c r="G2118" s="1100">
        <v>0.98455671438850079</v>
      </c>
      <c r="H2118" s="1100">
        <v>0.99886358010508769</v>
      </c>
      <c r="I2118" s="1100">
        <v>0.98938520571202293</v>
      </c>
      <c r="K2118">
        <v>1.1351144346216484</v>
      </c>
      <c r="L2118">
        <v>0</v>
      </c>
      <c r="M2118">
        <v>7.9574919774671701E-4</v>
      </c>
      <c r="N2118">
        <v>7.3264834704622278E-2</v>
      </c>
      <c r="O2118">
        <v>1.0299876816825038E-2</v>
      </c>
      <c r="P2118">
        <v>1.3367504502361115E-2</v>
      </c>
      <c r="Q2118">
        <v>4.4733232695546844E-4</v>
      </c>
      <c r="R2118">
        <v>7.9398480359792287E-4</v>
      </c>
      <c r="S2118">
        <v>7.168251200903733E-2</v>
      </c>
      <c r="T2118">
        <v>0.81734824123693561</v>
      </c>
      <c r="U2118">
        <v>0</v>
      </c>
      <c r="V2118">
        <v>9.1341145891115555E-2</v>
      </c>
      <c r="W2118">
        <v>4.8124999984398252E-2</v>
      </c>
      <c r="X2118">
        <v>7.0787866451731893E-3</v>
      </c>
      <c r="Y2118">
        <v>2.1609648983733831E-3</v>
      </c>
    </row>
    <row r="2119" spans="1:25" x14ac:dyDescent="0.25">
      <c r="A2119" s="1096"/>
      <c r="B2119" s="1455">
        <v>1869</v>
      </c>
      <c r="C2119" s="1100">
        <v>1.0006261824282048</v>
      </c>
      <c r="D2119" s="1100">
        <v>1.014180053066438</v>
      </c>
      <c r="E2119" s="1100">
        <v>1.0322213533093507</v>
      </c>
      <c r="F2119" s="1100">
        <v>1.0184596945731468</v>
      </c>
      <c r="G2119" s="1100">
        <v>0.99370507826702659</v>
      </c>
      <c r="H2119" s="1100">
        <v>1.0312913741631398</v>
      </c>
      <c r="I2119" s="1100">
        <v>0.99934401486301516</v>
      </c>
      <c r="K2119">
        <v>1.1688355762435056</v>
      </c>
      <c r="L2119">
        <v>0</v>
      </c>
      <c r="M2119">
        <v>7.6749000793779583E-4</v>
      </c>
      <c r="N2119">
        <v>7.7843067102681768E-2</v>
      </c>
      <c r="O2119">
        <v>1.0295202007738275E-2</v>
      </c>
      <c r="P2119">
        <v>1.4046077049323742E-2</v>
      </c>
      <c r="Q2119">
        <v>4.6163453223515183E-4</v>
      </c>
      <c r="R2119">
        <v>7.6584178132297535E-4</v>
      </c>
      <c r="S2119">
        <v>7.3550819520388389E-2</v>
      </c>
      <c r="T2119">
        <v>0.84075554357163707</v>
      </c>
      <c r="U2119">
        <v>0</v>
      </c>
      <c r="V2119">
        <v>9.1816375566641531E-2</v>
      </c>
      <c r="W2119">
        <v>5.0179697106856991E-2</v>
      </c>
      <c r="X2119">
        <v>7.8044391435305354E-3</v>
      </c>
      <c r="Y2119">
        <v>2.0843688690857761E-3</v>
      </c>
    </row>
    <row r="2120" spans="1:25" x14ac:dyDescent="0.25">
      <c r="A2120" s="1096"/>
      <c r="B2120" s="1455">
        <v>1870</v>
      </c>
      <c r="C2120" s="1100">
        <v>0.9940238369373976</v>
      </c>
      <c r="D2120" s="1100">
        <v>0.98694760322013275</v>
      </c>
      <c r="E2120" s="1100">
        <v>0.99444894094188696</v>
      </c>
      <c r="F2120" s="1100">
        <v>1.0023950472230454</v>
      </c>
      <c r="G2120" s="1100">
        <v>1.0182785178415461</v>
      </c>
      <c r="H2120" s="1100">
        <v>1.0010655903056782</v>
      </c>
      <c r="I2120" s="1100">
        <v>1.0179780287445914</v>
      </c>
      <c r="K2120">
        <v>1.155090481044003</v>
      </c>
      <c r="L2120">
        <v>0</v>
      </c>
      <c r="M2120">
        <v>8.2007656920547278E-4</v>
      </c>
      <c r="N2120">
        <v>7.4209717584213117E-2</v>
      </c>
      <c r="O2120">
        <v>1.0464505105034215E-2</v>
      </c>
      <c r="P2120">
        <v>1.3552049898100788E-2</v>
      </c>
      <c r="Q2120">
        <v>4.5186987287205608E-4</v>
      </c>
      <c r="R2120">
        <v>8.1826223433337794E-4</v>
      </c>
      <c r="S2120">
        <v>7.5164515325633452E-2</v>
      </c>
      <c r="T2120">
        <v>0.82998424858917419</v>
      </c>
      <c r="U2120">
        <v>0</v>
      </c>
      <c r="V2120">
        <v>9.3025368035695305E-2</v>
      </c>
      <c r="W2120">
        <v>4.8912200273741845E-2</v>
      </c>
      <c r="X2120">
        <v>7.1007806326281626E-3</v>
      </c>
      <c r="Y2120">
        <v>2.2270400617824008E-3</v>
      </c>
    </row>
    <row r="2121" spans="1:25" x14ac:dyDescent="0.25">
      <c r="A2121" s="1096"/>
      <c r="B2121" s="1455">
        <v>1871</v>
      </c>
      <c r="C2121" s="1100">
        <v>0.95892355102302718</v>
      </c>
      <c r="D2121" s="1100">
        <v>0.98530210205038715</v>
      </c>
      <c r="E2121" s="1100">
        <v>1.0198245267175896</v>
      </c>
      <c r="F2121" s="1100">
        <v>0.99843112961939662</v>
      </c>
      <c r="G2121" s="1100">
        <v>0.97472967873673977</v>
      </c>
      <c r="H2121" s="1100">
        <v>0.97918308656292807</v>
      </c>
      <c r="I2121" s="1100">
        <v>0.99951355635511396</v>
      </c>
      <c r="K2121">
        <v>1.154803648611914</v>
      </c>
      <c r="L2121">
        <v>0</v>
      </c>
      <c r="M2121">
        <v>7.8935712484563695E-4</v>
      </c>
      <c r="N2121">
        <v>7.7114525052126931E-2</v>
      </c>
      <c r="O2121">
        <v>1.0863511152027621E-2</v>
      </c>
      <c r="P2121">
        <v>1.3735016611313995E-2</v>
      </c>
      <c r="Q2121">
        <v>4.8117047353408179E-4</v>
      </c>
      <c r="R2121">
        <v>7.8757172617154351E-4</v>
      </c>
      <c r="S2121">
        <v>7.5665772790827063E-2</v>
      </c>
      <c r="T2121">
        <v>0.82503063022244683</v>
      </c>
      <c r="U2121">
        <v>0</v>
      </c>
      <c r="V2121">
        <v>9.2080657681194916E-2</v>
      </c>
      <c r="W2121">
        <v>5.0070194596090446E-2</v>
      </c>
      <c r="X2121">
        <v>7.620444815336593E-3</v>
      </c>
      <c r="Y2121">
        <v>2.143510615689184E-3</v>
      </c>
    </row>
    <row r="2122" spans="1:25" x14ac:dyDescent="0.25">
      <c r="A2122" s="1096"/>
      <c r="B2122" s="1455">
        <v>1872</v>
      </c>
      <c r="C2122" s="1100">
        <v>0.95700501229227974</v>
      </c>
      <c r="D2122" s="1100">
        <v>1.0157070675515543</v>
      </c>
      <c r="E2122" s="1100">
        <v>1.0152848274816413</v>
      </c>
      <c r="F2122" s="1100">
        <v>0.98143666761817938</v>
      </c>
      <c r="G2122" s="1100">
        <v>1.0125396202423775</v>
      </c>
      <c r="H2122" s="1100">
        <v>0.95608320473952013</v>
      </c>
      <c r="I2122" s="1100">
        <v>1.0346230980670597</v>
      </c>
      <c r="K2122">
        <v>1.1380870187776229</v>
      </c>
      <c r="L2122">
        <v>0</v>
      </c>
      <c r="M2122">
        <v>7.7018687783916937E-4</v>
      </c>
      <c r="N2122">
        <v>7.4214048832243293E-2</v>
      </c>
      <c r="O2122">
        <v>1.0752213428940399E-2</v>
      </c>
      <c r="P2122">
        <v>1.3530704117548826E-2</v>
      </c>
      <c r="Q2122">
        <v>4.740934650998378E-4</v>
      </c>
      <c r="R2122">
        <v>7.6840274986095605E-4</v>
      </c>
      <c r="S2122">
        <v>7.6247061438857761E-2</v>
      </c>
      <c r="T2122">
        <v>0.81128008297792331</v>
      </c>
      <c r="U2122">
        <v>0</v>
      </c>
      <c r="V2122">
        <v>9.3747717166423786E-2</v>
      </c>
      <c r="W2122">
        <v>4.8315325420215244E-2</v>
      </c>
      <c r="X2122">
        <v>7.4362170771248336E-3</v>
      </c>
      <c r="Y2122">
        <v>2.0913389812231074E-3</v>
      </c>
    </row>
    <row r="2123" spans="1:25" x14ac:dyDescent="0.25">
      <c r="A2123" s="1096"/>
      <c r="B2123" s="1455">
        <v>1873</v>
      </c>
      <c r="C2123" s="1100">
        <v>0.98642788320078334</v>
      </c>
      <c r="D2123" s="1100">
        <v>0.9721256434198946</v>
      </c>
      <c r="E2123" s="1100">
        <v>0.97292482128748758</v>
      </c>
      <c r="F2123" s="1100">
        <v>0.99928840814590869</v>
      </c>
      <c r="G2123" s="1100">
        <v>1.0037187795377054</v>
      </c>
      <c r="H2123" s="1100">
        <v>1.0021127610975815</v>
      </c>
      <c r="I2123" s="1100">
        <v>0.99558722447814063</v>
      </c>
      <c r="K2123">
        <v>1.1526112138501581</v>
      </c>
      <c r="L2123">
        <v>0</v>
      </c>
      <c r="M2123">
        <v>8.7018007847192006E-4</v>
      </c>
      <c r="N2123">
        <v>7.3780381353518318E-2</v>
      </c>
      <c r="O2123">
        <v>1.0601902972758093E-2</v>
      </c>
      <c r="P2123">
        <v>1.3305208446257702E-2</v>
      </c>
      <c r="Q2123">
        <v>4.4791623673246206E-4</v>
      </c>
      <c r="R2123">
        <v>8.6825690649629749E-4</v>
      </c>
      <c r="S2123">
        <v>7.4673141329947845E-2</v>
      </c>
      <c r="T2123">
        <v>0.82884728965497478</v>
      </c>
      <c r="U2123">
        <v>0</v>
      </c>
      <c r="V2123">
        <v>9.259181004563774E-2</v>
      </c>
      <c r="W2123">
        <v>4.926351098032359E-2</v>
      </c>
      <c r="X2123">
        <v>6.7388669233122414E-3</v>
      </c>
      <c r="Y2123">
        <v>2.3631090786706195E-3</v>
      </c>
    </row>
    <row r="2124" spans="1:25" x14ac:dyDescent="0.25">
      <c r="A2124" s="1096"/>
      <c r="B2124" s="1455">
        <v>1874</v>
      </c>
      <c r="C2124" s="1100">
        <v>0.95635048927166399</v>
      </c>
      <c r="D2124" s="1100">
        <v>0.99697961000129154</v>
      </c>
      <c r="E2124" s="1100">
        <v>0.97403675187608285</v>
      </c>
      <c r="F2124" s="1100">
        <v>0.96311327194087126</v>
      </c>
      <c r="G2124" s="1100">
        <v>1.0273467837265478</v>
      </c>
      <c r="H2124" s="1100">
        <v>0.98008515156147347</v>
      </c>
      <c r="I2124" s="1100">
        <v>1.0396331861972736</v>
      </c>
      <c r="K2124">
        <v>1.1278623865332325</v>
      </c>
      <c r="L2124">
        <v>0</v>
      </c>
      <c r="M2124">
        <v>8.6700491122747563E-4</v>
      </c>
      <c r="N2124">
        <v>7.375534595526613E-2</v>
      </c>
      <c r="O2124">
        <v>1.082584361687355E-2</v>
      </c>
      <c r="P2124">
        <v>1.298875019829859E-2</v>
      </c>
      <c r="Q2124">
        <v>4.5789651569835561E-4</v>
      </c>
      <c r="R2124">
        <v>8.6504569068444903E-4</v>
      </c>
      <c r="S2124">
        <v>7.8419443566444952E-2</v>
      </c>
      <c r="T2124">
        <v>0.79877045615796427</v>
      </c>
      <c r="U2124">
        <v>0</v>
      </c>
      <c r="V2124">
        <v>9.4392351870029131E-2</v>
      </c>
      <c r="W2124">
        <v>4.9213569753225987E-2</v>
      </c>
      <c r="X2124">
        <v>6.6863189121650042E-3</v>
      </c>
      <c r="Y2124">
        <v>2.3543692078077751E-3</v>
      </c>
    </row>
    <row r="2125" spans="1:25" x14ac:dyDescent="0.25">
      <c r="A2125" s="1096"/>
      <c r="B2125" s="1455">
        <v>1875</v>
      </c>
      <c r="C2125" s="1100">
        <v>1.0027607928241198</v>
      </c>
      <c r="D2125" s="1100">
        <v>1.0338023633060116</v>
      </c>
      <c r="E2125" s="1100">
        <v>0.98984505314057025</v>
      </c>
      <c r="F2125" s="1100">
        <v>1.0460511100661527</v>
      </c>
      <c r="G2125" s="1100">
        <v>1.0012767025231351</v>
      </c>
      <c r="H2125" s="1100">
        <v>0.98813742104541769</v>
      </c>
      <c r="I2125" s="1100">
        <v>0.99793314242730335</v>
      </c>
      <c r="K2125">
        <v>1.1810027596724615</v>
      </c>
      <c r="L2125">
        <v>0</v>
      </c>
      <c r="M2125">
        <v>7.9523168867643682E-4</v>
      </c>
      <c r="N2125">
        <v>7.0964838591743185E-2</v>
      </c>
      <c r="O2125">
        <v>1.0181168102424679E-2</v>
      </c>
      <c r="P2125">
        <v>1.3926652955795931E-2</v>
      </c>
      <c r="Q2125">
        <v>4.3759639739157196E-4</v>
      </c>
      <c r="R2125">
        <v>7.9344930207395905E-4</v>
      </c>
      <c r="S2125">
        <v>7.0803282332983372E-2</v>
      </c>
      <c r="T2125">
        <v>0.86645157889184488</v>
      </c>
      <c r="U2125">
        <v>0</v>
      </c>
      <c r="V2125">
        <v>9.2080564539386997E-2</v>
      </c>
      <c r="W2125">
        <v>4.6902435704358938E-2</v>
      </c>
      <c r="X2125">
        <v>7.0969171033806611E-3</v>
      </c>
      <c r="Y2125">
        <v>2.1595074397531837E-3</v>
      </c>
    </row>
    <row r="2126" spans="1:25" x14ac:dyDescent="0.25">
      <c r="A2126" s="1096"/>
      <c r="B2126" s="1455">
        <v>1876</v>
      </c>
      <c r="C2126" s="1100">
        <v>1.0199118999466501</v>
      </c>
      <c r="D2126" s="1100">
        <v>0.99705981540736188</v>
      </c>
      <c r="E2126" s="1100">
        <v>1.0234492816418357</v>
      </c>
      <c r="F2126" s="1100">
        <v>1.033282468829138</v>
      </c>
      <c r="G2126" s="1100">
        <v>1.0079907117162776</v>
      </c>
      <c r="H2126" s="1100">
        <v>0.99966604198118114</v>
      </c>
      <c r="I2126" s="1100">
        <v>1.0052583074285761</v>
      </c>
      <c r="K2126">
        <v>1.1737008428496736</v>
      </c>
      <c r="L2126">
        <v>0</v>
      </c>
      <c r="M2126">
        <v>7.4842616881327917E-4</v>
      </c>
      <c r="N2126">
        <v>7.3923117846499117E-2</v>
      </c>
      <c r="O2126">
        <v>1.016671698363285E-2</v>
      </c>
      <c r="P2126">
        <v>1.4114108748884732E-2</v>
      </c>
      <c r="Q2126">
        <v>4.5193197833400705E-4</v>
      </c>
      <c r="R2126">
        <v>7.4676803489767284E-4</v>
      </c>
      <c r="S2126">
        <v>7.1941117651697459E-2</v>
      </c>
      <c r="T2126">
        <v>0.85358389699003268</v>
      </c>
      <c r="U2126">
        <v>0</v>
      </c>
      <c r="V2126">
        <v>9.1956874724734433E-2</v>
      </c>
      <c r="W2126">
        <v>4.7896475199791164E-2</v>
      </c>
      <c r="X2126">
        <v>7.6358044410074228E-3</v>
      </c>
      <c r="Y2126">
        <v>2.0324564189749214E-3</v>
      </c>
    </row>
    <row r="2127" spans="1:25" x14ac:dyDescent="0.25">
      <c r="A2127" s="1096"/>
      <c r="B2127" s="1455">
        <v>1877</v>
      </c>
      <c r="C2127" s="1100">
        <v>0.9951412907006375</v>
      </c>
      <c r="D2127" s="1100">
        <v>0.96804311356079298</v>
      </c>
      <c r="E2127" s="1100">
        <v>0.99433613172982704</v>
      </c>
      <c r="F2127" s="1100">
        <v>0.98404182801170736</v>
      </c>
      <c r="G2127" s="1100">
        <v>0.97735398710320809</v>
      </c>
      <c r="H2127" s="1100">
        <v>0.98729293210578462</v>
      </c>
      <c r="I2127" s="1100">
        <v>1.0025582243557962</v>
      </c>
      <c r="K2127">
        <v>1.1359005350319347</v>
      </c>
      <c r="L2127">
        <v>0</v>
      </c>
      <c r="M2127">
        <v>8.1435027208618912E-4</v>
      </c>
      <c r="N2127">
        <v>7.3664137779088854E-2</v>
      </c>
      <c r="O2127">
        <v>1.0533894322715311E-2</v>
      </c>
      <c r="P2127">
        <v>1.3306248788161855E-2</v>
      </c>
      <c r="Q2127">
        <v>4.548144460978666E-4</v>
      </c>
      <c r="R2127">
        <v>8.1252347295776789E-4</v>
      </c>
      <c r="S2127">
        <v>7.4109429143137839E-2</v>
      </c>
      <c r="T2127">
        <v>0.81479513151600524</v>
      </c>
      <c r="U2127">
        <v>0</v>
      </c>
      <c r="V2127">
        <v>9.1247552211745936E-2</v>
      </c>
      <c r="W2127">
        <v>4.8555874291902383E-2</v>
      </c>
      <c r="X2127">
        <v>7.0238582871070057E-3</v>
      </c>
      <c r="Y2127">
        <v>2.2114210451001696E-3</v>
      </c>
    </row>
    <row r="2128" spans="1:25" x14ac:dyDescent="0.25">
      <c r="A2128" s="1096"/>
      <c r="B2128" s="1455">
        <v>1878</v>
      </c>
      <c r="C2128" s="1100">
        <v>1.012827092804871</v>
      </c>
      <c r="D2128" s="1100">
        <v>1.0103109942723283</v>
      </c>
      <c r="E2128" s="1100">
        <v>0.9948863762550153</v>
      </c>
      <c r="F2128" s="1100">
        <v>1.0034696310141626</v>
      </c>
      <c r="G2128" s="1100">
        <v>1.0067907247307659</v>
      </c>
      <c r="H2128" s="1100">
        <v>1.008491204920771</v>
      </c>
      <c r="I2128" s="1100">
        <v>0.99053787261108095</v>
      </c>
      <c r="K2128">
        <v>1.1480923427895213</v>
      </c>
      <c r="L2128">
        <v>0</v>
      </c>
      <c r="M2128">
        <v>8.025412063789977E-4</v>
      </c>
      <c r="N2128">
        <v>7.2720187245635712E-2</v>
      </c>
      <c r="O2128">
        <v>1.0174704246907007E-2</v>
      </c>
      <c r="P2128">
        <v>1.3501572273267468E-2</v>
      </c>
      <c r="Q2128">
        <v>4.3954972378402774E-4</v>
      </c>
      <c r="R2128">
        <v>8.0077874015353615E-4</v>
      </c>
      <c r="S2128">
        <v>7.1218409479395145E-2</v>
      </c>
      <c r="T2128">
        <v>0.83084486862353868</v>
      </c>
      <c r="U2128">
        <v>0</v>
      </c>
      <c r="V2128">
        <v>9.2071423493164634E-2</v>
      </c>
      <c r="W2128">
        <v>4.7917926993155356E-2</v>
      </c>
      <c r="X2128">
        <v>7.0260074228419419E-3</v>
      </c>
      <c r="Y2128">
        <v>2.179455754057179E-3</v>
      </c>
    </row>
    <row r="2129" spans="1:25" x14ac:dyDescent="0.25">
      <c r="A2129" s="1096"/>
      <c r="B2129" s="1455">
        <v>1879</v>
      </c>
      <c r="C2129" s="1100">
        <v>0.9913439025684988</v>
      </c>
      <c r="D2129" s="1100">
        <v>0.98960636356595666</v>
      </c>
      <c r="E2129" s="1100">
        <v>0.96043286286081608</v>
      </c>
      <c r="F2129" s="1100">
        <v>1.0196231583492057</v>
      </c>
      <c r="G2129" s="1100">
        <v>1.0338402327561649</v>
      </c>
      <c r="H2129" s="1100">
        <v>0.98988432978767649</v>
      </c>
      <c r="I2129" s="1100">
        <v>0.9960676349132489</v>
      </c>
      <c r="K2129">
        <v>1.1657249496491568</v>
      </c>
      <c r="L2129">
        <v>0</v>
      </c>
      <c r="M2129">
        <v>8.7139689502877817E-4</v>
      </c>
      <c r="N2129">
        <v>7.1138549438616444E-2</v>
      </c>
      <c r="O2129">
        <v>1.0470272255491186E-2</v>
      </c>
      <c r="P2129">
        <v>1.3407445187305203E-2</v>
      </c>
      <c r="Q2129">
        <v>4.3673268125976822E-4</v>
      </c>
      <c r="R2129">
        <v>8.6944724286202126E-4</v>
      </c>
      <c r="S2129">
        <v>7.3144778693357573E-2</v>
      </c>
      <c r="T2129">
        <v>0.84657067763881255</v>
      </c>
      <c r="U2129">
        <v>0</v>
      </c>
      <c r="V2129">
        <v>9.3754308121194743E-2</v>
      </c>
      <c r="W2129">
        <v>4.7863026969746363E-2</v>
      </c>
      <c r="X2129">
        <v>6.5747595336747384E-3</v>
      </c>
      <c r="Y2129">
        <v>2.3663487818638409E-3</v>
      </c>
    </row>
    <row r="2130" spans="1:25" x14ac:dyDescent="0.25">
      <c r="A2130" s="1096"/>
      <c r="B2130" s="1455">
        <v>1880</v>
      </c>
      <c r="C2130" s="1100">
        <v>0.9859617457663804</v>
      </c>
      <c r="D2130" s="1100">
        <v>0.96746991834791596</v>
      </c>
      <c r="E2130" s="1100">
        <v>1.0054787829547891</v>
      </c>
      <c r="F2130" s="1100">
        <v>0.95724239429806379</v>
      </c>
      <c r="G2130" s="1100">
        <v>0.97182284818616982</v>
      </c>
      <c r="H2130" s="1100">
        <v>0.97662300591038953</v>
      </c>
      <c r="I2130" s="1100">
        <v>0.98093244941283764</v>
      </c>
      <c r="K2130">
        <v>1.1124199061641229</v>
      </c>
      <c r="L2130">
        <v>0</v>
      </c>
      <c r="M2130">
        <v>7.9466105421498612E-4</v>
      </c>
      <c r="N2130">
        <v>7.4342381047256573E-2</v>
      </c>
      <c r="O2130">
        <v>1.0638234760702928E-2</v>
      </c>
      <c r="P2130">
        <v>1.3085874908849182E-2</v>
      </c>
      <c r="Q2130">
        <v>4.6449321991798423E-4</v>
      </c>
      <c r="R2130">
        <v>7.9285894728648972E-4</v>
      </c>
      <c r="S2130">
        <v>7.2783756658521187E-2</v>
      </c>
      <c r="T2130">
        <v>0.79189878276902204</v>
      </c>
      <c r="U2130">
        <v>0</v>
      </c>
      <c r="V2130">
        <v>9.1244827465243372E-2</v>
      </c>
      <c r="W2130">
        <v>4.8679461202030087E-2</v>
      </c>
      <c r="X2130">
        <v>7.1259955508756398E-3</v>
      </c>
      <c r="Y2130">
        <v>2.1579006886320957E-3</v>
      </c>
    </row>
    <row r="2131" spans="1:25" x14ac:dyDescent="0.25">
      <c r="A2131" s="1096"/>
      <c r="B2131" s="1455">
        <v>1881</v>
      </c>
      <c r="C2131" s="1100">
        <v>1.026478971972967</v>
      </c>
      <c r="D2131" s="1100">
        <v>1.035984367483755</v>
      </c>
      <c r="E2131" s="1100">
        <v>0.98337643741990954</v>
      </c>
      <c r="F2131" s="1100">
        <v>1.0123265295278119</v>
      </c>
      <c r="G2131" s="1100">
        <v>1.0082541565155467</v>
      </c>
      <c r="H2131" s="1100">
        <v>0.99361173169646155</v>
      </c>
      <c r="I2131" s="1100">
        <v>0.95784641913792035</v>
      </c>
      <c r="K2131">
        <v>1.1451451977194682</v>
      </c>
      <c r="L2131">
        <v>0</v>
      </c>
      <c r="M2131">
        <v>7.9102308592920783E-4</v>
      </c>
      <c r="N2131">
        <v>6.9222657400140511E-2</v>
      </c>
      <c r="O2131">
        <v>9.9355046467417881E-3</v>
      </c>
      <c r="P2131">
        <v>1.3427078156921164E-2</v>
      </c>
      <c r="Q2131">
        <v>4.242493469951226E-4</v>
      </c>
      <c r="R2131">
        <v>7.8925990034751871E-4</v>
      </c>
      <c r="S2131">
        <v>6.6514998410151766E-2</v>
      </c>
      <c r="T2131">
        <v>0.83895363926079369</v>
      </c>
      <c r="U2131">
        <v>0</v>
      </c>
      <c r="V2131">
        <v>9.1807151934411912E-2</v>
      </c>
      <c r="W2131">
        <v>4.5929096168364228E-2</v>
      </c>
      <c r="X2131">
        <v>6.7844803112383206E-3</v>
      </c>
      <c r="Y2131">
        <v>2.1481052692897207E-3</v>
      </c>
    </row>
    <row r="2132" spans="1:25" x14ac:dyDescent="0.25">
      <c r="A2132" s="1096"/>
      <c r="B2132" s="1455">
        <v>1882</v>
      </c>
      <c r="C2132" s="1100">
        <v>1.0423399897759247</v>
      </c>
      <c r="D2132" s="1100">
        <v>1.0220194736142694</v>
      </c>
      <c r="E2132" s="1100">
        <v>0.97530582967517143</v>
      </c>
      <c r="F2132" s="1100">
        <v>1.0212252010622116</v>
      </c>
      <c r="G2132" s="1100">
        <v>1.041208396316591</v>
      </c>
      <c r="H2132" s="1100">
        <v>0.95971717342231544</v>
      </c>
      <c r="I2132" s="1100">
        <v>1.0264438990657998</v>
      </c>
      <c r="K2132">
        <v>1.1510592925782004</v>
      </c>
      <c r="L2132">
        <v>0</v>
      </c>
      <c r="M2132">
        <v>7.692382066833679E-4</v>
      </c>
      <c r="N2132">
        <v>6.56871130118096E-2</v>
      </c>
      <c r="O2132">
        <v>9.835074381404128E-3</v>
      </c>
      <c r="P2132">
        <v>1.3502553601765343E-2</v>
      </c>
      <c r="Q2132">
        <v>4.1652885668375561E-4</v>
      </c>
      <c r="R2132">
        <v>7.6746302356836646E-4</v>
      </c>
      <c r="S2132">
        <v>6.9329539109867555E-2</v>
      </c>
      <c r="T2132">
        <v>0.84687947213474557</v>
      </c>
      <c r="U2132">
        <v>0</v>
      </c>
      <c r="V2132">
        <v>9.2848399452757746E-2</v>
      </c>
      <c r="W2132">
        <v>4.379629069872993E-2</v>
      </c>
      <c r="X2132">
        <v>6.6773151575166651E-3</v>
      </c>
      <c r="Y2132">
        <v>2.0887813560353675E-3</v>
      </c>
    </row>
    <row r="2133" spans="1:25" x14ac:dyDescent="0.25">
      <c r="A2133" s="1096"/>
      <c r="B2133" s="1455">
        <v>1883</v>
      </c>
      <c r="C2133" s="1100">
        <v>1.0127869567231613</v>
      </c>
      <c r="D2133" s="1100">
        <v>0.98363857442567604</v>
      </c>
      <c r="E2133" s="1100">
        <v>0.96931333836048761</v>
      </c>
      <c r="F2133" s="1100">
        <v>0.96874958612735618</v>
      </c>
      <c r="G2133" s="1100">
        <v>0.99705852255314142</v>
      </c>
      <c r="H2133" s="1100">
        <v>1.029217866965132</v>
      </c>
      <c r="I2133" s="1100">
        <v>1.0143190311502219</v>
      </c>
      <c r="K2133">
        <v>1.124851965373457</v>
      </c>
      <c r="L2133">
        <v>0</v>
      </c>
      <c r="M2133">
        <v>8.7285162861943451E-4</v>
      </c>
      <c r="N2133">
        <v>7.3206362599484584E-2</v>
      </c>
      <c r="O2133">
        <v>1.0276290897013079E-2</v>
      </c>
      <c r="P2133">
        <v>1.2922826134302684E-2</v>
      </c>
      <c r="Q2133">
        <v>4.3256093641057004E-4</v>
      </c>
      <c r="R2133">
        <v>8.7097335574047152E-4</v>
      </c>
      <c r="S2133">
        <v>7.4758082232341219E-2</v>
      </c>
      <c r="T2133">
        <v>0.803752139580728</v>
      </c>
      <c r="U2133">
        <v>0</v>
      </c>
      <c r="V2133">
        <v>9.1652903366382973E-2</v>
      </c>
      <c r="W2133">
        <v>4.8987700610640145E-2</v>
      </c>
      <c r="X2133">
        <v>6.4944749309953833E-3</v>
      </c>
      <c r="Y2133">
        <v>2.3705023580360076E-3</v>
      </c>
    </row>
    <row r="2134" spans="1:25" x14ac:dyDescent="0.25">
      <c r="A2134" s="1096"/>
      <c r="B2134" s="1455">
        <v>1884</v>
      </c>
      <c r="C2134" s="1100">
        <v>0.99563395414553635</v>
      </c>
      <c r="D2134" s="1100">
        <v>1.0142315226093706</v>
      </c>
      <c r="E2134" s="1100">
        <v>0.98182065749504666</v>
      </c>
      <c r="F2134" s="1100">
        <v>1.008194138824186</v>
      </c>
      <c r="G2134" s="1100">
        <v>0.98597362201037109</v>
      </c>
      <c r="H2134" s="1100">
        <v>0.96749949585740935</v>
      </c>
      <c r="I2134" s="1100">
        <v>1.0240544558289757</v>
      </c>
      <c r="K2134">
        <v>1.14996475548095</v>
      </c>
      <c r="L2134">
        <v>0</v>
      </c>
      <c r="M2134">
        <v>8.0344787193728365E-4</v>
      </c>
      <c r="N2134">
        <v>6.9975608041852891E-2</v>
      </c>
      <c r="O2134">
        <v>1.0330120975272495E-2</v>
      </c>
      <c r="P2134">
        <v>1.3451549176958821E-2</v>
      </c>
      <c r="Q2134">
        <v>4.4040364523808537E-4</v>
      </c>
      <c r="R2134">
        <v>8.0160865678882795E-4</v>
      </c>
      <c r="S2134">
        <v>7.3030299001205445E-2</v>
      </c>
      <c r="T2134">
        <v>0.83563369685883715</v>
      </c>
      <c r="U2134">
        <v>0</v>
      </c>
      <c r="V2134">
        <v>9.1601892500457957E-2</v>
      </c>
      <c r="W2134">
        <v>4.6472223975270621E-2</v>
      </c>
      <c r="X2134">
        <v>6.849086007448723E-3</v>
      </c>
      <c r="Y2134">
        <v>2.1817145135564972E-3</v>
      </c>
    </row>
    <row r="2135" spans="1:25" x14ac:dyDescent="0.25">
      <c r="A2135" s="1096"/>
      <c r="B2135" s="1455">
        <v>1885</v>
      </c>
      <c r="C2135" s="1100">
        <v>0.99637910185622824</v>
      </c>
      <c r="D2135" s="1100">
        <v>0.98080565737282988</v>
      </c>
      <c r="E2135" s="1100">
        <v>1.0048051076871687</v>
      </c>
      <c r="F2135" s="1100">
        <v>0.9649063681915252</v>
      </c>
      <c r="G2135" s="1100">
        <v>0.98443698004214375</v>
      </c>
      <c r="H2135" s="1100">
        <v>1.0066560631683601</v>
      </c>
      <c r="I2135" s="1100">
        <v>1.0427818766047308</v>
      </c>
      <c r="K2135">
        <v>1.1253516789867095</v>
      </c>
      <c r="L2135">
        <v>0</v>
      </c>
      <c r="M2135">
        <v>8.0723636891455669E-4</v>
      </c>
      <c r="N2135">
        <v>7.5370450860240551E-2</v>
      </c>
      <c r="O2135">
        <v>1.0469298187657954E-2</v>
      </c>
      <c r="P2135">
        <v>1.323246212527234E-2</v>
      </c>
      <c r="Q2135">
        <v>4.5680844613418158E-4</v>
      </c>
      <c r="R2135">
        <v>8.0546035982390638E-4</v>
      </c>
      <c r="S2135">
        <v>7.7313453966805085E-2</v>
      </c>
      <c r="T2135">
        <v>0.79828189243164493</v>
      </c>
      <c r="U2135">
        <v>0</v>
      </c>
      <c r="V2135">
        <v>9.1521144051855977E-2</v>
      </c>
      <c r="W2135">
        <v>4.9372326780271668E-2</v>
      </c>
      <c r="X2135">
        <v>7.1434205664125784E-3</v>
      </c>
      <c r="Y2135">
        <v>2.1921975795044179E-3</v>
      </c>
    </row>
    <row r="2136" spans="1:25" x14ac:dyDescent="0.25">
      <c r="A2136" s="1096"/>
      <c r="B2136" s="1455">
        <v>1886</v>
      </c>
      <c r="C2136" s="1100">
        <v>0.98478442858557247</v>
      </c>
      <c r="D2136" s="1100">
        <v>1.0164116527255576</v>
      </c>
      <c r="E2136" s="1100">
        <v>1.0097564438191471</v>
      </c>
      <c r="F2136" s="1100">
        <v>0.96467816959867903</v>
      </c>
      <c r="G2136" s="1100">
        <v>0.97966361039865479</v>
      </c>
      <c r="H2136" s="1100">
        <v>1.001440364551518</v>
      </c>
      <c r="I2136" s="1100">
        <v>1.0056573798549271</v>
      </c>
      <c r="K2136">
        <v>1.1209502317960027</v>
      </c>
      <c r="L2136">
        <v>0</v>
      </c>
      <c r="M2136">
        <v>7.9280794013385442E-4</v>
      </c>
      <c r="N2136">
        <v>7.5137468428639026E-2</v>
      </c>
      <c r="O2136">
        <v>1.0444181346505054E-2</v>
      </c>
      <c r="P2136">
        <v>1.3228036613429457E-2</v>
      </c>
      <c r="Q2136">
        <v>4.5797708838926941E-4</v>
      </c>
      <c r="R2136">
        <v>7.9105459070334997E-4</v>
      </c>
      <c r="S2136">
        <v>7.3862092390397843E-2</v>
      </c>
      <c r="T2136">
        <v>0.79777800341317573</v>
      </c>
      <c r="U2136">
        <v>0</v>
      </c>
      <c r="V2136">
        <v>9.1610817381464468E-2</v>
      </c>
      <c r="W2136">
        <v>4.9075904858417556E-2</v>
      </c>
      <c r="X2136">
        <v>7.2045138001971204E-3</v>
      </c>
      <c r="Y2136">
        <v>2.1529898248187763E-3</v>
      </c>
    </row>
    <row r="2137" spans="1:25" x14ac:dyDescent="0.25">
      <c r="A2137" s="1096"/>
      <c r="B2137" s="1455">
        <v>1887</v>
      </c>
      <c r="C2137" s="1100">
        <v>1.0370206751500162</v>
      </c>
      <c r="D2137" s="1100">
        <v>0.96542123184391293</v>
      </c>
      <c r="E2137" s="1100">
        <v>1.0115187472937079</v>
      </c>
      <c r="F2137" s="1100">
        <v>0.98739117011210675</v>
      </c>
      <c r="G2137" s="1100">
        <v>1.014012012792294</v>
      </c>
      <c r="H2137" s="1100">
        <v>1.0032053209584779</v>
      </c>
      <c r="I2137" s="1100">
        <v>1.0099180936441448</v>
      </c>
      <c r="K2137">
        <v>1.1348050963775376</v>
      </c>
      <c r="L2137">
        <v>0</v>
      </c>
      <c r="M2137">
        <v>7.6707425668253988E-4</v>
      </c>
      <c r="N2137">
        <v>7.3086670361924205E-2</v>
      </c>
      <c r="O2137">
        <v>1.0124964618587595E-2</v>
      </c>
      <c r="P2137">
        <v>1.3484559762485469E-2</v>
      </c>
      <c r="Q2137">
        <v>4.4476200053466831E-4</v>
      </c>
      <c r="R2137">
        <v>7.6538080363947264E-4</v>
      </c>
      <c r="S2137">
        <v>7.2398181845375581E-2</v>
      </c>
      <c r="T2137">
        <v>0.81644679749488303</v>
      </c>
      <c r="U2137">
        <v>0</v>
      </c>
      <c r="V2137">
        <v>9.1811506822560757E-2</v>
      </c>
      <c r="W2137">
        <v>4.7686873232348624E-2</v>
      </c>
      <c r="X2137">
        <v>7.2393594520885479E-3</v>
      </c>
      <c r="Y2137">
        <v>2.083114239792534E-3</v>
      </c>
    </row>
    <row r="2138" spans="1:25" x14ac:dyDescent="0.25">
      <c r="A2138" s="1096"/>
      <c r="B2138" s="1455">
        <v>1888</v>
      </c>
      <c r="C2138" s="1100">
        <v>0.98199284904592743</v>
      </c>
      <c r="D2138" s="1100">
        <v>0.9707772240732252</v>
      </c>
      <c r="E2138" s="1100">
        <v>1.0059764306847072</v>
      </c>
      <c r="F2138" s="1100">
        <v>1.0016621318072687</v>
      </c>
      <c r="G2138" s="1100">
        <v>0.99991934870565391</v>
      </c>
      <c r="H2138" s="1100">
        <v>1.0192736697430003</v>
      </c>
      <c r="I2138" s="1100">
        <v>1.0186631717837717</v>
      </c>
      <c r="K2138">
        <v>1.1619681783629487</v>
      </c>
      <c r="L2138">
        <v>0</v>
      </c>
      <c r="M2138">
        <v>8.3072249860354885E-4</v>
      </c>
      <c r="N2138">
        <v>7.7840299992377959E-2</v>
      </c>
      <c r="O2138">
        <v>1.0666828349043924E-2</v>
      </c>
      <c r="P2138">
        <v>1.3676960915407516E-2</v>
      </c>
      <c r="Q2138">
        <v>4.6597398776999769E-4</v>
      </c>
      <c r="R2138">
        <v>8.2891744233299595E-4</v>
      </c>
      <c r="S2138">
        <v>7.7577609837424455E-2</v>
      </c>
      <c r="T2138">
        <v>0.82861303034302602</v>
      </c>
      <c r="U2138">
        <v>0</v>
      </c>
      <c r="V2138">
        <v>9.2547624697395983E-2</v>
      </c>
      <c r="W2138">
        <v>5.0954896411373865E-2</v>
      </c>
      <c r="X2138">
        <v>7.3707188599300378E-3</v>
      </c>
      <c r="Y2138">
        <v>2.256040025468988E-3</v>
      </c>
    </row>
    <row r="2139" spans="1:25" x14ac:dyDescent="0.25">
      <c r="A2139" s="1096"/>
      <c r="B2139" s="1455">
        <v>1889</v>
      </c>
      <c r="C2139" s="1100">
        <v>1.032994701796319</v>
      </c>
      <c r="D2139" s="1100">
        <v>0.99360812859797176</v>
      </c>
      <c r="E2139" s="1100">
        <v>0.9916062976176051</v>
      </c>
      <c r="F2139" s="1100">
        <v>1.0422974596160097</v>
      </c>
      <c r="G2139" s="1100">
        <v>0.99711482236378612</v>
      </c>
      <c r="H2139" s="1100">
        <v>0.97876024877987111</v>
      </c>
      <c r="I2139" s="1100">
        <v>1.0322432411325182</v>
      </c>
      <c r="K2139">
        <v>1.1754247661239439</v>
      </c>
      <c r="L2139">
        <v>0</v>
      </c>
      <c r="M2139">
        <v>7.7402773335666353E-4</v>
      </c>
      <c r="N2139">
        <v>6.9439920608399097E-2</v>
      </c>
      <c r="O2139">
        <v>1.0041763179176684E-2</v>
      </c>
      <c r="P2139">
        <v>1.3907783629830649E-2</v>
      </c>
      <c r="Q2139">
        <v>4.3237335898413506E-4</v>
      </c>
      <c r="R2139">
        <v>7.7227625095945538E-4</v>
      </c>
      <c r="S2139">
        <v>7.2177176659862369E-2</v>
      </c>
      <c r="T2139">
        <v>0.86322031749209038</v>
      </c>
      <c r="U2139">
        <v>0</v>
      </c>
      <c r="V2139">
        <v>9.1179598501983206E-2</v>
      </c>
      <c r="W2139">
        <v>4.5846209551276516E-2</v>
      </c>
      <c r="X2139">
        <v>7.0794932504230071E-3</v>
      </c>
      <c r="Y2139">
        <v>2.1018813743139278E-3</v>
      </c>
    </row>
    <row r="2140" spans="1:25" x14ac:dyDescent="0.25">
      <c r="A2140" s="1096"/>
      <c r="B2140" s="1455">
        <v>1890</v>
      </c>
      <c r="C2140" s="1100">
        <v>0.99195363110475521</v>
      </c>
      <c r="D2140" s="1100">
        <v>1.0040499682920538</v>
      </c>
      <c r="E2140" s="1100">
        <v>0.98839127313336406</v>
      </c>
      <c r="F2140" s="1100">
        <v>1.0105285302379334</v>
      </c>
      <c r="G2140" s="1100">
        <v>0.98827491131791012</v>
      </c>
      <c r="H2140" s="1100">
        <v>1.0267753628548437</v>
      </c>
      <c r="I2140" s="1100">
        <v>0.99418840003201936</v>
      </c>
      <c r="K2140">
        <v>1.161745882774988</v>
      </c>
      <c r="L2140">
        <v>0</v>
      </c>
      <c r="M2140">
        <v>8.4769192559506991E-4</v>
      </c>
      <c r="N2140">
        <v>7.5320860313925458E-2</v>
      </c>
      <c r="O2140">
        <v>1.0412536087631118E-2</v>
      </c>
      <c r="P2140">
        <v>1.3553876776368382E-2</v>
      </c>
      <c r="Q2140">
        <v>4.4688334715725755E-4</v>
      </c>
      <c r="R2140">
        <v>8.4586345413928529E-4</v>
      </c>
      <c r="S2140">
        <v>7.3954515782160696E-2</v>
      </c>
      <c r="T2140">
        <v>0.83712575129776745</v>
      </c>
      <c r="U2140">
        <v>0</v>
      </c>
      <c r="V2140">
        <v>9.1793607455145365E-2</v>
      </c>
      <c r="W2140">
        <v>4.9824843305262143E-2</v>
      </c>
      <c r="X2140">
        <v>7.0126753976705956E-3</v>
      </c>
      <c r="Y2140">
        <v>2.3021614833544169E-3</v>
      </c>
    </row>
    <row r="2141" spans="1:25" x14ac:dyDescent="0.25">
      <c r="A2141" s="1096"/>
      <c r="B2141" s="1455">
        <v>1891</v>
      </c>
      <c r="C2141" s="1100">
        <v>0.98698595708938441</v>
      </c>
      <c r="D2141" s="1100">
        <v>1.0150970103272927</v>
      </c>
      <c r="E2141" s="1100">
        <v>0.98425423578733873</v>
      </c>
      <c r="F2141" s="1100">
        <v>1.0066112399360225</v>
      </c>
      <c r="G2141" s="1100">
        <v>1.0355188920635565</v>
      </c>
      <c r="H2141" s="1100">
        <v>0.98658394909947189</v>
      </c>
      <c r="I2141" s="1100">
        <v>1.0355343181393875</v>
      </c>
      <c r="K2141">
        <v>1.1568731355186335</v>
      </c>
      <c r="L2141">
        <v>0</v>
      </c>
      <c r="M2141">
        <v>8.2204401530576346E-4</v>
      </c>
      <c r="N2141">
        <v>7.2127419922845354E-2</v>
      </c>
      <c r="O2141">
        <v>1.0417878952565733E-2</v>
      </c>
      <c r="P2141">
        <v>1.3518316047729058E-2</v>
      </c>
      <c r="Q2141">
        <v>4.4524311411989697E-4</v>
      </c>
      <c r="R2141">
        <v>8.2019863192874572E-4</v>
      </c>
      <c r="S2141">
        <v>7.5275786620778995E-2</v>
      </c>
      <c r="T2141">
        <v>0.83415819904462762</v>
      </c>
      <c r="U2141">
        <v>0</v>
      </c>
      <c r="V2141">
        <v>9.3939024507653873E-2</v>
      </c>
      <c r="W2141">
        <v>4.7831118023227599E-2</v>
      </c>
      <c r="X2141">
        <v>6.9296843707585022E-3</v>
      </c>
      <c r="Y2141">
        <v>2.2323102977036971E-3</v>
      </c>
    </row>
    <row r="2142" spans="1:25" x14ac:dyDescent="0.25">
      <c r="A2142" s="1096"/>
      <c r="B2142" s="1455">
        <v>1892</v>
      </c>
      <c r="C2142" s="1100">
        <v>0.99388909500273936</v>
      </c>
      <c r="D2142" s="1100">
        <v>0.98965646154412035</v>
      </c>
      <c r="E2142" s="1100">
        <v>1.0259754391907991</v>
      </c>
      <c r="F2142" s="1100">
        <v>0.98992586565994578</v>
      </c>
      <c r="G2142" s="1100">
        <v>1.0015366487574719</v>
      </c>
      <c r="H2142" s="1100">
        <v>1.0039733538091269</v>
      </c>
      <c r="I2142" s="1100">
        <v>0.97737725393029262</v>
      </c>
      <c r="K2142">
        <v>1.1425634073406934</v>
      </c>
      <c r="L2142">
        <v>0</v>
      </c>
      <c r="M2142">
        <v>7.6957568840994211E-4</v>
      </c>
      <c r="N2142">
        <v>7.6594105206639465E-2</v>
      </c>
      <c r="O2142">
        <v>1.0464897189357088E-2</v>
      </c>
      <c r="P2142">
        <v>1.3649264411798588E-2</v>
      </c>
      <c r="Q2142">
        <v>4.6635340606601911E-4</v>
      </c>
      <c r="R2142">
        <v>7.6787801271554579E-4</v>
      </c>
      <c r="S2142">
        <v>7.2228495216577163E-2</v>
      </c>
      <c r="T2142">
        <v>0.81760390214051804</v>
      </c>
      <c r="U2142">
        <v>0</v>
      </c>
      <c r="V2142">
        <v>9.2317927951253126E-2</v>
      </c>
      <c r="W2142">
        <v>4.955404811531651E-2</v>
      </c>
      <c r="X2142">
        <v>7.5962005591679455E-3</v>
      </c>
      <c r="Y2142">
        <v>2.0899108196928548E-3</v>
      </c>
    </row>
    <row r="2143" spans="1:25" x14ac:dyDescent="0.25">
      <c r="A2143" s="1096"/>
      <c r="B2143" s="1455">
        <v>1893</v>
      </c>
      <c r="C2143" s="1100">
        <v>0.97496062956999296</v>
      </c>
      <c r="D2143" s="1100">
        <v>1.0288432869047777</v>
      </c>
      <c r="E2143" s="1100">
        <v>1.0101885252209188</v>
      </c>
      <c r="F2143" s="1100">
        <v>1.0111081644215336</v>
      </c>
      <c r="G2143" s="1100">
        <v>0.9853494484231744</v>
      </c>
      <c r="H2143" s="1100">
        <v>0.9900111730436818</v>
      </c>
      <c r="I2143" s="1100">
        <v>1.0036155886172871</v>
      </c>
      <c r="K2143">
        <v>1.1594972401025703</v>
      </c>
      <c r="L2143">
        <v>0</v>
      </c>
      <c r="M2143">
        <v>7.871099611347507E-4</v>
      </c>
      <c r="N2143">
        <v>7.4692910218948458E-2</v>
      </c>
      <c r="O2143">
        <v>1.0498387605636946E-2</v>
      </c>
      <c r="P2143">
        <v>1.3761358681873382E-2</v>
      </c>
      <c r="Q2143">
        <v>4.6055291601805018E-4</v>
      </c>
      <c r="R2143">
        <v>7.8534911709971357E-4</v>
      </c>
      <c r="S2143">
        <v>7.3519499933596424E-2</v>
      </c>
      <c r="T2143">
        <v>0.83614630481537777</v>
      </c>
      <c r="U2143">
        <v>0</v>
      </c>
      <c r="V2143">
        <v>9.2107559216939888E-2</v>
      </c>
      <c r="W2143">
        <v>4.8773113787667445E-2</v>
      </c>
      <c r="X2143">
        <v>7.4018523640666132E-3</v>
      </c>
      <c r="Y2143">
        <v>2.1374614064785468E-3</v>
      </c>
    </row>
    <row r="2144" spans="1:25" x14ac:dyDescent="0.25">
      <c r="A2144" s="1096"/>
      <c r="B2144" s="1455">
        <v>1894</v>
      </c>
      <c r="C2144" s="1100">
        <v>1.0380997096556079</v>
      </c>
      <c r="D2144" s="1100">
        <v>1.0300321483039594</v>
      </c>
      <c r="E2144" s="1100">
        <v>0.96136607331099222</v>
      </c>
      <c r="F2144" s="1100">
        <v>1.0168872501353192</v>
      </c>
      <c r="G2144" s="1100">
        <v>1.0009846848731763</v>
      </c>
      <c r="H2144" s="1100">
        <v>0.99005380561005651</v>
      </c>
      <c r="I2144" s="1100">
        <v>0.98054497848864641</v>
      </c>
      <c r="K2144">
        <v>1.1469293672633853</v>
      </c>
      <c r="L2144">
        <v>0</v>
      </c>
      <c r="M2144">
        <v>8.1749450935736704E-4</v>
      </c>
      <c r="N2144">
        <v>6.6927098585961797E-2</v>
      </c>
      <c r="O2144">
        <v>9.8401263587892304E-3</v>
      </c>
      <c r="P2144">
        <v>1.3276144738414942E-2</v>
      </c>
      <c r="Q2144">
        <v>4.1084190955635136E-4</v>
      </c>
      <c r="R2144">
        <v>8.1566577078678133E-4</v>
      </c>
      <c r="S2144">
        <v>6.7369372974070793E-2</v>
      </c>
      <c r="T2144">
        <v>0.84423508711102568</v>
      </c>
      <c r="U2144">
        <v>0</v>
      </c>
      <c r="V2144">
        <v>9.1223618237038229E-2</v>
      </c>
      <c r="W2144">
        <v>4.5003748683091233E-2</v>
      </c>
      <c r="X2144">
        <v>6.4251840600748848E-3</v>
      </c>
      <c r="Y2144">
        <v>2.2199733439325431E-3</v>
      </c>
    </row>
    <row r="2145" spans="1:25" x14ac:dyDescent="0.25">
      <c r="A2145" s="1096"/>
      <c r="B2145" s="1455">
        <v>1895</v>
      </c>
      <c r="C2145" s="1100">
        <v>0.99876064704256917</v>
      </c>
      <c r="D2145" s="1100">
        <v>1.0000300742636155</v>
      </c>
      <c r="E2145" s="1100">
        <v>1.0071772878614365</v>
      </c>
      <c r="F2145" s="1100">
        <v>0.96831681654188695</v>
      </c>
      <c r="G2145" s="1100">
        <v>1.0000832360759804</v>
      </c>
      <c r="H2145" s="1100">
        <v>0.99096677582715642</v>
      </c>
      <c r="I2145" s="1100">
        <v>0.99032925547233364</v>
      </c>
      <c r="K2145">
        <v>1.1200433247313952</v>
      </c>
      <c r="L2145">
        <v>0</v>
      </c>
      <c r="M2145">
        <v>7.8276404355972042E-4</v>
      </c>
      <c r="N2145">
        <v>7.3608380307439991E-2</v>
      </c>
      <c r="O2145">
        <v>1.0364332176009853E-2</v>
      </c>
      <c r="P2145">
        <v>1.3226388277067333E-2</v>
      </c>
      <c r="Q2145">
        <v>4.5330448340150299E-4</v>
      </c>
      <c r="R2145">
        <v>7.8101461040940056E-4</v>
      </c>
      <c r="S2145">
        <v>7.1893224831164004E-2</v>
      </c>
      <c r="T2145">
        <v>0.80095178089532049</v>
      </c>
      <c r="U2145">
        <v>0</v>
      </c>
      <c r="V2145">
        <v>9.2131076266198972E-2</v>
      </c>
      <c r="W2145">
        <v>4.8150446808906969E-2</v>
      </c>
      <c r="X2145">
        <v>7.1404758108974866E-3</v>
      </c>
      <c r="Y2145">
        <v>2.1256643081372607E-3</v>
      </c>
    </row>
    <row r="2146" spans="1:25" x14ac:dyDescent="0.25">
      <c r="A2146" s="1096"/>
      <c r="B2146" s="1455">
        <v>1896</v>
      </c>
      <c r="C2146" s="1100">
        <v>1.0142866634488206</v>
      </c>
      <c r="D2146" s="1100">
        <v>1.0379833232887918</v>
      </c>
      <c r="E2146" s="1100">
        <v>1.0197829259738878</v>
      </c>
      <c r="F2146" s="1100">
        <v>0.99409993552113607</v>
      </c>
      <c r="G2146" s="1100">
        <v>0.9793959473494106</v>
      </c>
      <c r="H2146" s="1100">
        <v>0.9982271897795254</v>
      </c>
      <c r="I2146" s="1100">
        <v>0.97963164067080755</v>
      </c>
      <c r="K2146">
        <v>1.1348446521953535</v>
      </c>
      <c r="L2146">
        <v>0</v>
      </c>
      <c r="M2146">
        <v>7.4516337048102517E-4</v>
      </c>
      <c r="N2146">
        <v>7.2791124855488568E-2</v>
      </c>
      <c r="O2146">
        <v>1.0058761826687005E-2</v>
      </c>
      <c r="P2146">
        <v>1.3575997833679602E-2</v>
      </c>
      <c r="Q2146">
        <v>4.4550780483913538E-4</v>
      </c>
      <c r="R2146">
        <v>7.4351008564933036E-4</v>
      </c>
      <c r="S2146">
        <v>6.8996658408999295E-2</v>
      </c>
      <c r="T2146">
        <v>0.82145435884389628</v>
      </c>
      <c r="U2146">
        <v>0</v>
      </c>
      <c r="V2146">
        <v>9.0868960196915816E-2</v>
      </c>
      <c r="W2146">
        <v>4.7264176300221693E-2</v>
      </c>
      <c r="X2146">
        <v>7.3671700543521809E-3</v>
      </c>
      <c r="Y2146">
        <v>2.0235893551036146E-3</v>
      </c>
    </row>
    <row r="2147" spans="1:25" x14ac:dyDescent="0.25">
      <c r="A2147" s="1096"/>
      <c r="B2147" s="1455">
        <v>1897</v>
      </c>
      <c r="C2147" s="1100">
        <v>1.0168166373351863</v>
      </c>
      <c r="D2147" s="1100">
        <v>0.98801752566709722</v>
      </c>
      <c r="E2147" s="1100">
        <v>1.0317270561432716</v>
      </c>
      <c r="F2147" s="1100">
        <v>1.0238587670939323</v>
      </c>
      <c r="G2147" s="1100">
        <v>0.97974922376480211</v>
      </c>
      <c r="H2147" s="1100">
        <v>0.99251496413477447</v>
      </c>
      <c r="I2147" s="1100">
        <v>0.99722133993104511</v>
      </c>
      <c r="K2147">
        <v>1.1646865829056414</v>
      </c>
      <c r="L2147">
        <v>0</v>
      </c>
      <c r="M2147">
        <v>7.3526729825959048E-4</v>
      </c>
      <c r="N2147">
        <v>7.4457576311920265E-2</v>
      </c>
      <c r="O2147">
        <v>1.023758317403641E-2</v>
      </c>
      <c r="P2147">
        <v>1.4063178857433297E-2</v>
      </c>
      <c r="Q2147">
        <v>4.5882687207340266E-4</v>
      </c>
      <c r="R2147">
        <v>7.336265809298186E-4</v>
      </c>
      <c r="S2147">
        <v>7.1641681840165783E-2</v>
      </c>
      <c r="T2147">
        <v>0.84524554953515119</v>
      </c>
      <c r="U2147">
        <v>0</v>
      </c>
      <c r="V2147">
        <v>9.0825345252894887E-2</v>
      </c>
      <c r="W2147">
        <v>4.8011072729909718E-2</v>
      </c>
      <c r="X2147">
        <v>7.7507193360317654E-3</v>
      </c>
      <c r="Y2147">
        <v>1.9966897133535584E-3</v>
      </c>
    </row>
    <row r="2148" spans="1:25" x14ac:dyDescent="0.25">
      <c r="A2148" s="1096"/>
      <c r="B2148" s="1455">
        <v>1898</v>
      </c>
      <c r="C2148" s="1100">
        <v>1.0225131624853652</v>
      </c>
      <c r="D2148" s="1100">
        <v>1.0302754961330918</v>
      </c>
      <c r="E2148" s="1100">
        <v>1.0027694944206211</v>
      </c>
      <c r="F2148" s="1100">
        <v>0.97368469082317688</v>
      </c>
      <c r="G2148" s="1100">
        <v>0.97967076684301602</v>
      </c>
      <c r="H2148" s="1100">
        <v>0.98817761507109891</v>
      </c>
      <c r="I2148" s="1100">
        <v>1.0165585846787792</v>
      </c>
      <c r="K2148">
        <v>1.1167519341613406</v>
      </c>
      <c r="L2148">
        <v>0</v>
      </c>
      <c r="M2148">
        <v>7.6032108614597566E-4</v>
      </c>
      <c r="N2148">
        <v>7.0552001902887573E-2</v>
      </c>
      <c r="O2148">
        <v>1.0002236915273095E-2</v>
      </c>
      <c r="P2148">
        <v>1.3213845825247181E-2</v>
      </c>
      <c r="Q2148">
        <v>4.3553886809560838E-4</v>
      </c>
      <c r="R2148">
        <v>7.5861701547730895E-4</v>
      </c>
      <c r="S2148">
        <v>7.0872024206571724E-2</v>
      </c>
      <c r="T2148">
        <v>0.80567531155211114</v>
      </c>
      <c r="U2148">
        <v>0</v>
      </c>
      <c r="V2148">
        <v>9.0681300368269976E-2</v>
      </c>
      <c r="W2148">
        <v>4.6271724880534201E-2</v>
      </c>
      <c r="X2148">
        <v>6.9849482749211366E-3</v>
      </c>
      <c r="Y2148">
        <v>2.0647054380972928E-3</v>
      </c>
    </row>
    <row r="2149" spans="1:25" x14ac:dyDescent="0.25">
      <c r="A2149" s="1096"/>
      <c r="B2149" s="1455">
        <v>1899</v>
      </c>
      <c r="C2149" s="1100">
        <v>0.97489078479493119</v>
      </c>
      <c r="D2149" s="1100">
        <v>1.0020836525723571</v>
      </c>
      <c r="E2149" s="1100">
        <v>0.97366742908115456</v>
      </c>
      <c r="F2149" s="1100">
        <v>1.0016717310892667</v>
      </c>
      <c r="G2149" s="1100">
        <v>1.0041184055297909</v>
      </c>
      <c r="H2149" s="1100">
        <v>1.0382706460876239</v>
      </c>
      <c r="I2149" s="1100">
        <v>1.0164476809790168</v>
      </c>
      <c r="K2149">
        <v>1.1623226667779558</v>
      </c>
      <c r="L2149">
        <v>0</v>
      </c>
      <c r="M2149">
        <v>8.9985741115030206E-4</v>
      </c>
      <c r="N2149">
        <v>7.6474253142170073E-2</v>
      </c>
      <c r="O2149">
        <v>1.0598166369502631E-2</v>
      </c>
      <c r="P2149">
        <v>1.3380271059138686E-2</v>
      </c>
      <c r="Q2149">
        <v>4.4809772422545158E-4</v>
      </c>
      <c r="R2149">
        <v>8.9793790857174867E-4</v>
      </c>
      <c r="S2149">
        <v>7.7479620462760926E-2</v>
      </c>
      <c r="T2149">
        <v>0.83077421804532126</v>
      </c>
      <c r="U2149">
        <v>0</v>
      </c>
      <c r="V2149">
        <v>9.2906195684888268E-2</v>
      </c>
      <c r="W2149">
        <v>5.1039208580954273E-2</v>
      </c>
      <c r="X2149">
        <v>6.7806642295924653E-3</v>
      </c>
      <c r="Y2149">
        <v>2.443890981980292E-3</v>
      </c>
    </row>
    <row r="2150" spans="1:25" x14ac:dyDescent="0.25">
      <c r="A2150" s="1096"/>
      <c r="B2150" s="1455">
        <v>1900</v>
      </c>
      <c r="C2150" s="1100">
        <v>1.0014732953696095</v>
      </c>
      <c r="D2150" s="1100">
        <v>0.9948119161463036</v>
      </c>
      <c r="E2150" s="1100">
        <v>1.0014520012648369</v>
      </c>
      <c r="F2150" s="1100">
        <v>1.0177703598226626</v>
      </c>
      <c r="G2150" s="1100">
        <v>1.0329779161836787</v>
      </c>
      <c r="H2150" s="1100">
        <v>0.97525872374829881</v>
      </c>
      <c r="I2150" s="1100">
        <v>0.99908692364658214</v>
      </c>
      <c r="K2150">
        <v>1.1607611220930243</v>
      </c>
      <c r="L2150">
        <v>0</v>
      </c>
      <c r="M2150">
        <v>7.7908281168314968E-4</v>
      </c>
      <c r="N2150">
        <v>7.2003663761890477E-2</v>
      </c>
      <c r="O2150">
        <v>1.0356035435575606E-2</v>
      </c>
      <c r="P2150">
        <v>1.375173389727616E-2</v>
      </c>
      <c r="Q2150">
        <v>4.5034862037736438E-4</v>
      </c>
      <c r="R2150">
        <v>7.7731356106083165E-4</v>
      </c>
      <c r="S2150">
        <v>7.1881716336084395E-2</v>
      </c>
      <c r="T2150">
        <v>0.84224267711693956</v>
      </c>
      <c r="U2150">
        <v>0</v>
      </c>
      <c r="V2150">
        <v>9.346930940735268E-2</v>
      </c>
      <c r="W2150">
        <v>4.7260732587871605E-2</v>
      </c>
      <c r="X2150">
        <v>7.2310829084170749E-3</v>
      </c>
      <c r="Y2150">
        <v>2.1155912718610463E-3</v>
      </c>
    </row>
    <row r="2151" spans="1:25" x14ac:dyDescent="0.25">
      <c r="A2151" s="1096"/>
      <c r="B2151" s="1455">
        <v>1901</v>
      </c>
      <c r="C2151" s="1100">
        <v>1.0175345404198959</v>
      </c>
      <c r="D2151" s="1100">
        <v>1.013661126987937</v>
      </c>
      <c r="E2151" s="1100">
        <v>1.0103280373290622</v>
      </c>
      <c r="F2151" s="1100">
        <v>0.99671663207923822</v>
      </c>
      <c r="G2151" s="1100">
        <v>0.98157223767956692</v>
      </c>
      <c r="H2151" s="1100">
        <v>1.0010114908239005</v>
      </c>
      <c r="I2151" s="1100">
        <v>1.0028181258677338</v>
      </c>
      <c r="K2151">
        <v>1.140266950540582</v>
      </c>
      <c r="L2151">
        <v>0</v>
      </c>
      <c r="M2151">
        <v>7.6688278442996899E-4</v>
      </c>
      <c r="N2151">
        <v>7.2805900361059037E-2</v>
      </c>
      <c r="O2151">
        <v>1.0119172850247729E-2</v>
      </c>
      <c r="P2151">
        <v>1.355271161373481E-2</v>
      </c>
      <c r="Q2151">
        <v>4.4397907955251507E-4</v>
      </c>
      <c r="R2151">
        <v>7.6518604362814044E-4</v>
      </c>
      <c r="S2151">
        <v>7.1365647797722961E-2</v>
      </c>
      <c r="T2151">
        <v>0.82423591917620553</v>
      </c>
      <c r="U2151">
        <v>0</v>
      </c>
      <c r="V2151">
        <v>9.0882390349304495E-2</v>
      </c>
      <c r="W2151">
        <v>4.7537020531514769E-2</v>
      </c>
      <c r="X2151">
        <v>7.243321354795924E-3</v>
      </c>
      <c r="Y2151">
        <v>2.0825841672443084E-3</v>
      </c>
    </row>
    <row r="2152" spans="1:25" x14ac:dyDescent="0.25">
      <c r="A2152" s="1096"/>
      <c r="B2152" s="1455">
        <v>1902</v>
      </c>
      <c r="C2152" s="1100">
        <v>0.9702203111346458</v>
      </c>
      <c r="D2152" s="1100">
        <v>0.99643353625198594</v>
      </c>
      <c r="E2152" s="1100">
        <v>1.0025141578572314</v>
      </c>
      <c r="F2152" s="1100">
        <v>0.99942380821790788</v>
      </c>
      <c r="G2152" s="1100">
        <v>0.98221022211605735</v>
      </c>
      <c r="H2152" s="1100">
        <v>1.0072108003101585</v>
      </c>
      <c r="I2152" s="1100">
        <v>1.0448127233335955</v>
      </c>
      <c r="K2152">
        <v>1.1595068608973389</v>
      </c>
      <c r="L2152">
        <v>0</v>
      </c>
      <c r="M2152">
        <v>8.2815775509244782E-4</v>
      </c>
      <c r="N2152">
        <v>7.6790739951258707E-2</v>
      </c>
      <c r="O2152">
        <v>1.06830236064154E-2</v>
      </c>
      <c r="P2152">
        <v>1.3631949633188763E-2</v>
      </c>
      <c r="Q2152">
        <v>4.6506393962554603E-4</v>
      </c>
      <c r="R2152">
        <v>8.2633672015976429E-4</v>
      </c>
      <c r="S2152">
        <v>7.8931203125972543E-2</v>
      </c>
      <c r="T2152">
        <v>0.82699001488698898</v>
      </c>
      <c r="U2152">
        <v>0</v>
      </c>
      <c r="V2152">
        <v>9.2096215817370375E-2</v>
      </c>
      <c r="W2152">
        <v>5.0371046135169698E-2</v>
      </c>
      <c r="X2152">
        <v>7.3004086858328701E-3</v>
      </c>
      <c r="Y2152">
        <v>2.2490161504482879E-3</v>
      </c>
    </row>
    <row r="2153" spans="1:25" x14ac:dyDescent="0.25">
      <c r="A2153" s="1096"/>
      <c r="B2153" s="1455">
        <v>1903</v>
      </c>
      <c r="C2153" s="1100">
        <v>0.98752227532009895</v>
      </c>
      <c r="D2153" s="1100">
        <v>0.99492082253824932</v>
      </c>
      <c r="E2153" s="1100">
        <v>0.98495930294477285</v>
      </c>
      <c r="F2153" s="1100">
        <v>1.0027190567352506</v>
      </c>
      <c r="G2153" s="1100">
        <v>1.0183171805843747</v>
      </c>
      <c r="H2153" s="1100">
        <v>1.0224293538914124</v>
      </c>
      <c r="I2153" s="1100">
        <v>0.9926786318479337</v>
      </c>
      <c r="K2153">
        <v>1.1574154973038353</v>
      </c>
      <c r="L2153">
        <v>0</v>
      </c>
      <c r="M2153">
        <v>8.5706228776330138E-4</v>
      </c>
      <c r="N2153">
        <v>7.5366462445020987E-2</v>
      </c>
      <c r="O2153">
        <v>1.0496406850385137E-2</v>
      </c>
      <c r="P2153">
        <v>1.3458682272781807E-2</v>
      </c>
      <c r="Q2153">
        <v>4.4892003935913651E-4</v>
      </c>
      <c r="R2153">
        <v>8.5520574629534968E-4</v>
      </c>
      <c r="S2153">
        <v>7.4338866490743227E-2</v>
      </c>
      <c r="T2153">
        <v>0.83088566821682419</v>
      </c>
      <c r="U2153">
        <v>0</v>
      </c>
      <c r="V2153">
        <v>9.3189877216451181E-2</v>
      </c>
      <c r="W2153">
        <v>4.9957885085963057E-2</v>
      </c>
      <c r="X2153">
        <v>6.9469971048562373E-3</v>
      </c>
      <c r="Y2153">
        <v>2.3275881229174429E-3</v>
      </c>
    </row>
    <row r="2154" spans="1:25" x14ac:dyDescent="0.25">
      <c r="A2154" s="1096"/>
      <c r="B2154" s="1455">
        <v>1904</v>
      </c>
      <c r="C2154" s="1100">
        <v>0.97112311985463218</v>
      </c>
      <c r="D2154" s="1100">
        <v>0.96167504886430466</v>
      </c>
      <c r="E2154" s="1100">
        <v>1.0035499230874401</v>
      </c>
      <c r="F2154" s="1100">
        <v>1.0264627289415711</v>
      </c>
      <c r="G2154" s="1100">
        <v>0.98690636355735484</v>
      </c>
      <c r="H2154" s="1100">
        <v>1.0147767904820386</v>
      </c>
      <c r="I2154" s="1100">
        <v>0.9900721536157403</v>
      </c>
      <c r="K2154">
        <v>1.1828702883492888</v>
      </c>
      <c r="L2154">
        <v>0</v>
      </c>
      <c r="M2154">
        <v>8.437111154306412E-4</v>
      </c>
      <c r="N2154">
        <v>7.8479351896740282E-2</v>
      </c>
      <c r="O2154">
        <v>1.0826111184310424E-2</v>
      </c>
      <c r="P2154">
        <v>1.3915370900418745E-2</v>
      </c>
      <c r="Q2154">
        <v>4.7178307882706784E-4</v>
      </c>
      <c r="R2154">
        <v>8.4186971252993834E-4</v>
      </c>
      <c r="S2154">
        <v>7.6421095358128771E-2</v>
      </c>
      <c r="T2154">
        <v>0.8492935411633169</v>
      </c>
      <c r="U2154">
        <v>0</v>
      </c>
      <c r="V2154">
        <v>9.2273414070223769E-2</v>
      </c>
      <c r="W2154">
        <v>5.1447089721466686E-2</v>
      </c>
      <c r="X2154">
        <v>7.4530805435264573E-3</v>
      </c>
      <c r="Y2154">
        <v>2.2912918352303423E-3</v>
      </c>
    </row>
    <row r="2155" spans="1:25" x14ac:dyDescent="0.25">
      <c r="A2155" s="1096"/>
      <c r="B2155" s="1455">
        <v>1905</v>
      </c>
      <c r="C2155" s="1100">
        <v>1.0110656790273271</v>
      </c>
      <c r="D2155" s="1100">
        <v>1.0081999616111772</v>
      </c>
      <c r="E2155" s="1100">
        <v>0.99201426059990028</v>
      </c>
      <c r="F2155" s="1100">
        <v>0.99526058833468811</v>
      </c>
      <c r="G2155" s="1100">
        <v>1.0074560176981311</v>
      </c>
      <c r="H2155" s="1100">
        <v>1.0114835391299866</v>
      </c>
      <c r="I2155" s="1100">
        <v>1.01184004574955</v>
      </c>
      <c r="K2155">
        <v>1.1437258876812408</v>
      </c>
      <c r="L2155">
        <v>0</v>
      </c>
      <c r="M2155">
        <v>8.1181688495276811E-4</v>
      </c>
      <c r="N2155">
        <v>7.2925303811861852E-2</v>
      </c>
      <c r="O2155">
        <v>1.02000354642348E-2</v>
      </c>
      <c r="P2155">
        <v>1.3409066681699069E-2</v>
      </c>
      <c r="Q2155">
        <v>4.3936912698169475E-4</v>
      </c>
      <c r="R2155">
        <v>8.1003932262184572E-4</v>
      </c>
      <c r="S2155">
        <v>7.3072965075062932E-2</v>
      </c>
      <c r="T2155">
        <v>0.82423786301428281</v>
      </c>
      <c r="U2155">
        <v>0</v>
      </c>
      <c r="V2155">
        <v>9.2142106529563936E-2</v>
      </c>
      <c r="W2155">
        <v>4.8135609933976621E-2</v>
      </c>
      <c r="X2155">
        <v>6.9606855991224473E-3</v>
      </c>
      <c r="Y2155">
        <v>2.2046600067857267E-3</v>
      </c>
    </row>
    <row r="2156" spans="1:25" x14ac:dyDescent="0.25">
      <c r="A2156" s="1096"/>
      <c r="B2156" s="1455">
        <v>1906</v>
      </c>
      <c r="C2156" s="1100">
        <v>1.03229718035142</v>
      </c>
      <c r="D2156" s="1100">
        <v>1.0428282630984458</v>
      </c>
      <c r="E2156" s="1100">
        <v>0.98763003388638626</v>
      </c>
      <c r="F2156" s="1100">
        <v>1.0067697660468731</v>
      </c>
      <c r="G2156" s="1100">
        <v>0.95969173723613033</v>
      </c>
      <c r="H2156" s="1100">
        <v>0.99219151750327761</v>
      </c>
      <c r="I2156" s="1100">
        <v>1.0095067474734429</v>
      </c>
      <c r="K2156">
        <v>1.1400815878798927</v>
      </c>
      <c r="L2156">
        <v>0</v>
      </c>
      <c r="M2156">
        <v>7.7650855506957762E-4</v>
      </c>
      <c r="N2156">
        <v>6.8832104188061752E-2</v>
      </c>
      <c r="O2156">
        <v>9.8548433228680156E-3</v>
      </c>
      <c r="P2156">
        <v>1.3413717041226464E-2</v>
      </c>
      <c r="Q2156">
        <v>4.2262272443537204E-4</v>
      </c>
      <c r="R2156">
        <v>7.747752447889001E-4</v>
      </c>
      <c r="S2156">
        <v>6.9421573764112537E-2</v>
      </c>
      <c r="T2156">
        <v>0.83406301279680439</v>
      </c>
      <c r="U2156">
        <v>0</v>
      </c>
      <c r="V2156">
        <v>8.9595028874997276E-2</v>
      </c>
      <c r="W2156">
        <v>4.5553324605236888E-2</v>
      </c>
      <c r="X2156">
        <v>6.8184110607052819E-3</v>
      </c>
      <c r="Y2156">
        <v>2.1086828117245823E-3</v>
      </c>
    </row>
    <row r="2157" spans="1:25" x14ac:dyDescent="0.25">
      <c r="A2157" s="1096"/>
      <c r="B2157" s="1455">
        <v>1907</v>
      </c>
      <c r="C2157" s="1100">
        <v>0.96312573542319868</v>
      </c>
      <c r="D2157" s="1100">
        <v>1.0265589404064117</v>
      </c>
      <c r="E2157" s="1100">
        <v>1.0141850891002164</v>
      </c>
      <c r="F2157" s="1100">
        <v>0.99666359099841828</v>
      </c>
      <c r="G2157" s="1100">
        <v>1.0242882422043418</v>
      </c>
      <c r="H2157" s="1100">
        <v>0.9986238093326385</v>
      </c>
      <c r="I2157" s="1100">
        <v>1.0150870359527631</v>
      </c>
      <c r="K2157">
        <v>1.1547372942925278</v>
      </c>
      <c r="L2157">
        <v>0</v>
      </c>
      <c r="M2157">
        <v>7.9777487622253649E-4</v>
      </c>
      <c r="N2157">
        <v>7.6625252050780274E-2</v>
      </c>
      <c r="O2157">
        <v>1.063819148442866E-2</v>
      </c>
      <c r="P2157">
        <v>1.36916394402006E-2</v>
      </c>
      <c r="Q2157">
        <v>4.6855190008592332E-4</v>
      </c>
      <c r="R2157">
        <v>7.9600556587760499E-4</v>
      </c>
      <c r="S2157">
        <v>7.5729886042483693E-2</v>
      </c>
      <c r="T2157">
        <v>0.82393908016899509</v>
      </c>
      <c r="U2157">
        <v>0</v>
      </c>
      <c r="V2157">
        <v>9.4085103615320631E-2</v>
      </c>
      <c r="W2157">
        <v>4.9917322995622432E-2</v>
      </c>
      <c r="X2157">
        <v>7.4775711578006394E-3</v>
      </c>
      <c r="Y2157">
        <v>2.1664647471545716E-3</v>
      </c>
    </row>
    <row r="2158" spans="1:25" x14ac:dyDescent="0.25">
      <c r="A2158" s="1096"/>
      <c r="B2158" s="1455">
        <v>1908</v>
      </c>
      <c r="C2158" s="1100">
        <v>1.0164752226674552</v>
      </c>
      <c r="D2158" s="1100">
        <v>0.9819035196985495</v>
      </c>
      <c r="E2158" s="1100">
        <v>1.0012991157446924</v>
      </c>
      <c r="F2158" s="1100">
        <v>0.96622341195690287</v>
      </c>
      <c r="G2158" s="1100">
        <v>0.98017185146802099</v>
      </c>
      <c r="H2158" s="1100">
        <v>1.0180163964621423</v>
      </c>
      <c r="I2158" s="1100">
        <v>1.0104908677032209</v>
      </c>
      <c r="K2158">
        <v>1.1206636912185588</v>
      </c>
      <c r="L2158">
        <v>0</v>
      </c>
      <c r="M2158">
        <v>8.0568958748641483E-4</v>
      </c>
      <c r="N2158">
        <v>7.443542268602768E-2</v>
      </c>
      <c r="O2158">
        <v>1.0256587011245398E-2</v>
      </c>
      <c r="P2158">
        <v>1.3159414648146761E-2</v>
      </c>
      <c r="Q2158">
        <v>4.4595546160683083E-4</v>
      </c>
      <c r="R2158">
        <v>8.0393676249800061E-4</v>
      </c>
      <c r="S2158">
        <v>7.3854679239184762E-2</v>
      </c>
      <c r="T2158">
        <v>0.79959544143588213</v>
      </c>
      <c r="U2158">
        <v>0</v>
      </c>
      <c r="V2158">
        <v>9.0846468668642766E-2</v>
      </c>
      <c r="W2158">
        <v>4.8861290497677852E-2</v>
      </c>
      <c r="X2158">
        <v>7.0221335452958179E-3</v>
      </c>
      <c r="Y2158">
        <v>2.1880508498370249E-3</v>
      </c>
    </row>
    <row r="2159" spans="1:25" x14ac:dyDescent="0.25">
      <c r="A2159" s="1096"/>
      <c r="B2159" s="1455">
        <v>1909</v>
      </c>
      <c r="C2159" s="1100">
        <v>1.0034896007276735</v>
      </c>
      <c r="D2159" s="1100">
        <v>0.9625135191455233</v>
      </c>
      <c r="E2159" s="1100">
        <v>1.0022885609671746</v>
      </c>
      <c r="F2159" s="1100">
        <v>0.97065951191553757</v>
      </c>
      <c r="G2159" s="1100">
        <v>0.97315661059058944</v>
      </c>
      <c r="H2159" s="1100">
        <v>1.0057859295006053</v>
      </c>
      <c r="I2159" s="1100">
        <v>1.026681285305054</v>
      </c>
      <c r="K2159">
        <v>1.1282996585037042</v>
      </c>
      <c r="L2159">
        <v>0</v>
      </c>
      <c r="M2159">
        <v>8.1110232549476023E-4</v>
      </c>
      <c r="N2159">
        <v>7.5157810068053346E-2</v>
      </c>
      <c r="O2159">
        <v>1.0472857001373541E-2</v>
      </c>
      <c r="P2159">
        <v>1.3251687172779785E-2</v>
      </c>
      <c r="Q2159">
        <v>4.5581152261990469E-4</v>
      </c>
      <c r="R2159">
        <v>8.0931626703928275E-4</v>
      </c>
      <c r="S2159">
        <v>7.6274956770814265E-2</v>
      </c>
      <c r="T2159">
        <v>0.80320299516710347</v>
      </c>
      <c r="U2159">
        <v>0</v>
      </c>
      <c r="V2159">
        <v>9.0862225906395297E-2</v>
      </c>
      <c r="W2159">
        <v>4.9306520548327418E-2</v>
      </c>
      <c r="X2159">
        <v>7.1138883168470135E-3</v>
      </c>
      <c r="Y2159">
        <v>2.2026920878452003E-3</v>
      </c>
    </row>
    <row r="2160" spans="1:25" x14ac:dyDescent="0.25">
      <c r="A2160" s="1096"/>
      <c r="B2160" s="1455">
        <v>1910</v>
      </c>
      <c r="C2160" s="1100">
        <v>1.0342834051532621</v>
      </c>
      <c r="D2160" s="1100">
        <v>1.0002946193165998</v>
      </c>
      <c r="E2160" s="1100">
        <v>1.0413821580413472</v>
      </c>
      <c r="F2160" s="1100">
        <v>0.98808385358430539</v>
      </c>
      <c r="G2160" s="1100">
        <v>0.98605004168230337</v>
      </c>
      <c r="H2160" s="1100">
        <v>1.0270591273427989</v>
      </c>
      <c r="I2160" s="1100">
        <v>0.99511967690554592</v>
      </c>
      <c r="K2160">
        <v>1.1357344791222459</v>
      </c>
      <c r="L2160">
        <v>0</v>
      </c>
      <c r="M2160">
        <v>7.2948324406850863E-4</v>
      </c>
      <c r="N2160">
        <v>7.6058217351343674E-2</v>
      </c>
      <c r="O2160">
        <v>1.001816999822319E-2</v>
      </c>
      <c r="P2160">
        <v>1.3729840610920294E-2</v>
      </c>
      <c r="Q2160">
        <v>4.5328430656319018E-4</v>
      </c>
      <c r="R2160">
        <v>7.2791018347336542E-4</v>
      </c>
      <c r="S2160">
        <v>7.1202520875015482E-2</v>
      </c>
      <c r="T2160">
        <v>0.81509131315786343</v>
      </c>
      <c r="U2160">
        <v>0</v>
      </c>
      <c r="V2160">
        <v>9.0684456227307988E-2</v>
      </c>
      <c r="W2160">
        <v>4.8770488017231994E-2</v>
      </c>
      <c r="X2160">
        <v>7.7466300744845028E-3</v>
      </c>
      <c r="Y2160">
        <v>1.9811315638870084E-3</v>
      </c>
    </row>
    <row r="2161" spans="1:25" x14ac:dyDescent="0.25">
      <c r="A2161" s="1096"/>
      <c r="B2161" s="1455">
        <v>1911</v>
      </c>
      <c r="C2161" s="1100">
        <v>0.98616645216778953</v>
      </c>
      <c r="D2161" s="1100">
        <v>1.0189617481620337</v>
      </c>
      <c r="E2161" s="1100">
        <v>1.0204073195190118</v>
      </c>
      <c r="F2161" s="1100">
        <v>0.95835689264543678</v>
      </c>
      <c r="G2161" s="1100">
        <v>0.9978601834676063</v>
      </c>
      <c r="H2161" s="1100">
        <v>0.99179328341283179</v>
      </c>
      <c r="I2161" s="1100">
        <v>1.0234023982684135</v>
      </c>
      <c r="K2161">
        <v>1.1160492756074385</v>
      </c>
      <c r="L2161">
        <v>0</v>
      </c>
      <c r="M2161">
        <v>7.6613011183345055E-4</v>
      </c>
      <c r="N2161">
        <v>7.497927853040029E-2</v>
      </c>
      <c r="O2161">
        <v>1.0422612953600145E-2</v>
      </c>
      <c r="P2161">
        <v>1.3270780852789885E-2</v>
      </c>
      <c r="Q2161">
        <v>4.6190958135361768E-4</v>
      </c>
      <c r="R2161">
        <v>7.6441928147898586E-4</v>
      </c>
      <c r="S2161">
        <v>7.4572204933333608E-2</v>
      </c>
      <c r="T2161">
        <v>0.79187959216247328</v>
      </c>
      <c r="U2161">
        <v>0</v>
      </c>
      <c r="V2161">
        <v>9.2355184865424392E-2</v>
      </c>
      <c r="W2161">
        <v>4.8667191297743481E-2</v>
      </c>
      <c r="X2161">
        <v>7.3617339672359125E-3</v>
      </c>
      <c r="Y2161">
        <v>2.0804972934373831E-3</v>
      </c>
    </row>
    <row r="2162" spans="1:25" x14ac:dyDescent="0.25">
      <c r="A2162" s="1096"/>
      <c r="B2162" s="1455">
        <v>1912</v>
      </c>
      <c r="C2162" s="1100">
        <v>0.99358694677077564</v>
      </c>
      <c r="D2162" s="1100">
        <v>1.0366637356237276</v>
      </c>
      <c r="E2162" s="1100">
        <v>0.99940622144157287</v>
      </c>
      <c r="F2162" s="1100">
        <v>0.99525080442855041</v>
      </c>
      <c r="G2162" s="1100">
        <v>1.0062626074499366</v>
      </c>
      <c r="H2162" s="1100">
        <v>1.0062384237211563</v>
      </c>
      <c r="I2162" s="1100">
        <v>0.97239151825995196</v>
      </c>
      <c r="K2162">
        <v>1.1417664147297484</v>
      </c>
      <c r="L2162">
        <v>0</v>
      </c>
      <c r="M2162">
        <v>8.0035467212082371E-4</v>
      </c>
      <c r="N2162">
        <v>7.3519020452439743E-2</v>
      </c>
      <c r="O2162">
        <v>1.0266919403272229E-2</v>
      </c>
      <c r="P2162">
        <v>1.3443523838689997E-2</v>
      </c>
      <c r="Q2162">
        <v>4.4555631264442299E-4</v>
      </c>
      <c r="R2162">
        <v>7.98593072673676E-4</v>
      </c>
      <c r="S2162">
        <v>7.0250520054973287E-2</v>
      </c>
      <c r="T2162">
        <v>0.82374167958385303</v>
      </c>
      <c r="U2162">
        <v>0</v>
      </c>
      <c r="V2162">
        <v>9.2523288278388433E-2</v>
      </c>
      <c r="W2162">
        <v>4.8314050151879485E-2</v>
      </c>
      <c r="X2162">
        <v>7.090111165373292E-3</v>
      </c>
      <c r="Y2162">
        <v>2.1735070876820902E-3</v>
      </c>
    </row>
    <row r="2163" spans="1:25" x14ac:dyDescent="0.25">
      <c r="A2163" s="1096"/>
      <c r="B2163" s="1455">
        <v>1913</v>
      </c>
      <c r="C2163" s="1100">
        <v>1.0152802546657325</v>
      </c>
      <c r="D2163" s="1100">
        <v>0.99638130837748506</v>
      </c>
      <c r="E2163" s="1100">
        <v>1.002981530073088</v>
      </c>
      <c r="F2163" s="1100">
        <v>0.99598785901066622</v>
      </c>
      <c r="G2163" s="1100">
        <v>1.0007062997715286</v>
      </c>
      <c r="H2163" s="1100">
        <v>1.0153920708111932</v>
      </c>
      <c r="I2163" s="1100">
        <v>0.98189424510362333</v>
      </c>
      <c r="K2163">
        <v>1.1430816474856154</v>
      </c>
      <c r="L2163">
        <v>0</v>
      </c>
      <c r="M2163">
        <v>7.9707424840756692E-4</v>
      </c>
      <c r="N2163">
        <v>7.4014256873533371E-2</v>
      </c>
      <c r="O2163">
        <v>1.0209257016266321E-2</v>
      </c>
      <c r="P2163">
        <v>1.3487146659620195E-2</v>
      </c>
      <c r="Q2163">
        <v>4.4464799048664366E-4</v>
      </c>
      <c r="R2163">
        <v>7.9533568478397669E-4</v>
      </c>
      <c r="S2163">
        <v>7.1210647555187412E-2</v>
      </c>
      <c r="T2163">
        <v>0.82411610432585658</v>
      </c>
      <c r="U2163">
        <v>0</v>
      </c>
      <c r="V2163">
        <v>9.1753305887821601E-2</v>
      </c>
      <c r="W2163">
        <v>4.8536351160685824E-2</v>
      </c>
      <c r="X2163">
        <v>7.1470270281372445E-3</v>
      </c>
      <c r="Y2163">
        <v>2.1646415516439585E-3</v>
      </c>
    </row>
    <row r="2164" spans="1:25" x14ac:dyDescent="0.25">
      <c r="A2164" s="1096"/>
      <c r="B2164" s="1455">
        <v>1914</v>
      </c>
      <c r="C2164" s="1100">
        <v>0.96652055513820412</v>
      </c>
      <c r="D2164" s="1100">
        <v>1.0038117656956367</v>
      </c>
      <c r="E2164" s="1100">
        <v>1.0072663923165823</v>
      </c>
      <c r="F2164" s="1100">
        <v>0.97876227077420919</v>
      </c>
      <c r="G2164" s="1100">
        <v>1.014448229687813</v>
      </c>
      <c r="H2164" s="1100">
        <v>1.0296107422536198</v>
      </c>
      <c r="I2164" s="1100">
        <v>1.0052086383493082</v>
      </c>
      <c r="K2164">
        <v>1.1447937480317079</v>
      </c>
      <c r="L2164">
        <v>0</v>
      </c>
      <c r="M2164">
        <v>8.3899450766441118E-4</v>
      </c>
      <c r="N2164">
        <v>7.8923960967089993E-2</v>
      </c>
      <c r="O2164">
        <v>1.0693926321291521E-2</v>
      </c>
      <c r="P2164">
        <v>1.3433994873910379E-2</v>
      </c>
      <c r="Q2164">
        <v>4.6776165927453668E-4</v>
      </c>
      <c r="R2164">
        <v>8.3718978018694186E-4</v>
      </c>
      <c r="S2164">
        <v>7.6894365891482006E-2</v>
      </c>
      <c r="T2164">
        <v>0.80958607688619166</v>
      </c>
      <c r="U2164">
        <v>0</v>
      </c>
      <c r="V2164">
        <v>9.3572975369226638E-2</v>
      </c>
      <c r="W2164">
        <v>5.1624881052040592E-2</v>
      </c>
      <c r="X2164">
        <v>7.319055136545744E-3</v>
      </c>
      <c r="Y2164">
        <v>2.2785546021319878E-3</v>
      </c>
    </row>
    <row r="2165" spans="1:25" x14ac:dyDescent="0.25">
      <c r="A2165" s="1096"/>
      <c r="B2165" s="1455">
        <v>1915</v>
      </c>
      <c r="C2165" s="1100">
        <v>0.98651230737604967</v>
      </c>
      <c r="D2165" s="1100">
        <v>1.0018391255435679</v>
      </c>
      <c r="E2165" s="1100">
        <v>0.99919832212681925</v>
      </c>
      <c r="F2165" s="1100">
        <v>0.97401801421051626</v>
      </c>
      <c r="G2165" s="1100">
        <v>0.96277418364132228</v>
      </c>
      <c r="H2165" s="1100">
        <v>0.98306369542976813</v>
      </c>
      <c r="I2165" s="1100">
        <v>0.99880952488839769</v>
      </c>
      <c r="K2165">
        <v>1.1249062341058818</v>
      </c>
      <c r="L2165">
        <v>0</v>
      </c>
      <c r="M2165">
        <v>7.9871133894023917E-4</v>
      </c>
      <c r="N2165">
        <v>7.3318183220892758E-2</v>
      </c>
      <c r="O2165">
        <v>1.0482783931774981E-2</v>
      </c>
      <c r="P2165">
        <v>1.3216888658240476E-2</v>
      </c>
      <c r="Q2165">
        <v>4.5482914963389102E-4</v>
      </c>
      <c r="R2165">
        <v>7.9691191385749226E-4</v>
      </c>
      <c r="S2165">
        <v>7.3006228758901226E-2</v>
      </c>
      <c r="T2165">
        <v>0.8061812947996857</v>
      </c>
      <c r="U2165">
        <v>0</v>
      </c>
      <c r="V2165">
        <v>9.0842835730891816E-2</v>
      </c>
      <c r="W2165">
        <v>4.8188024378919621E-2</v>
      </c>
      <c r="X2165">
        <v>7.0480333744444221E-3</v>
      </c>
      <c r="Y2165">
        <v>2.1689315275782934E-3</v>
      </c>
    </row>
    <row r="2166" spans="1:25" x14ac:dyDescent="0.25">
      <c r="A2166" s="1096"/>
      <c r="B2166" s="1455">
        <v>1916</v>
      </c>
      <c r="C2166" s="1100">
        <v>0.96168667837851918</v>
      </c>
      <c r="D2166" s="1100">
        <v>0.99020281869478521</v>
      </c>
      <c r="E2166" s="1100">
        <v>0.98135138091611651</v>
      </c>
      <c r="F2166" s="1100">
        <v>1.0164700179244679</v>
      </c>
      <c r="G2166" s="1100">
        <v>1.0077575647095387</v>
      </c>
      <c r="H2166" s="1100">
        <v>0.99040721079195471</v>
      </c>
      <c r="I2166" s="1100">
        <v>0.98897881687142475</v>
      </c>
      <c r="K2166">
        <v>1.1695682016717155</v>
      </c>
      <c r="L2166">
        <v>0</v>
      </c>
      <c r="M2166">
        <v>8.6054494611378647E-4</v>
      </c>
      <c r="N2166">
        <v>7.4846071630184946E-2</v>
      </c>
      <c r="O2166">
        <v>1.0797675081828641E-2</v>
      </c>
      <c r="P2166">
        <v>1.358872759973611E-2</v>
      </c>
      <c r="Q2166">
        <v>4.6011753949005307E-4</v>
      </c>
      <c r="R2166">
        <v>8.5862059044899324E-4</v>
      </c>
      <c r="S2166">
        <v>7.4887767315483106E-2</v>
      </c>
      <c r="T2166">
        <v>0.84252495779777958</v>
      </c>
      <c r="U2166">
        <v>0</v>
      </c>
      <c r="V2166">
        <v>9.3411825286964983E-2</v>
      </c>
      <c r="W2166">
        <v>4.9720867089981448E-2</v>
      </c>
      <c r="X2166">
        <v>6.9952344829289611E-3</v>
      </c>
      <c r="Y2166">
        <v>2.3368822030005875E-3</v>
      </c>
    </row>
    <row r="2167" spans="1:25" x14ac:dyDescent="0.25">
      <c r="A2167" s="1096"/>
      <c r="B2167" s="1455">
        <v>1917</v>
      </c>
      <c r="C2167" s="1100">
        <v>0.98590673943768736</v>
      </c>
      <c r="D2167" s="1100">
        <v>1.0108548233639918</v>
      </c>
      <c r="E2167" s="1100">
        <v>0.98316260180148995</v>
      </c>
      <c r="F2167" s="1100">
        <v>1.0000260779293728</v>
      </c>
      <c r="G2167" s="1100">
        <v>1.0469228482008892</v>
      </c>
      <c r="H2167" s="1100">
        <v>0.97569620120701228</v>
      </c>
      <c r="I2167" s="1100">
        <v>0.97462804190469421</v>
      </c>
      <c r="K2167">
        <v>1.1460951593710469</v>
      </c>
      <c r="L2167">
        <v>0</v>
      </c>
      <c r="M2167">
        <v>8.1706983974271538E-4</v>
      </c>
      <c r="N2167">
        <v>7.1452849917486391E-2</v>
      </c>
      <c r="O2167">
        <v>1.0446408089680915E-2</v>
      </c>
      <c r="P2167">
        <v>1.3379159926371956E-2</v>
      </c>
      <c r="Q2167">
        <v>4.4596833155001356E-4</v>
      </c>
      <c r="R2167">
        <v>8.1521515481094303E-4</v>
      </c>
      <c r="S2167">
        <v>7.0641560560695968E-2</v>
      </c>
      <c r="T2167">
        <v>0.82877405857962794</v>
      </c>
      <c r="U2167">
        <v>0</v>
      </c>
      <c r="V2167">
        <v>9.4454055489409147E-2</v>
      </c>
      <c r="W2167">
        <v>4.7414930421498504E-2</v>
      </c>
      <c r="X2167">
        <v>6.8692758238650372E-3</v>
      </c>
      <c r="Y2167">
        <v>2.2187469157918275E-3</v>
      </c>
    </row>
    <row r="2168" spans="1:25" x14ac:dyDescent="0.25">
      <c r="A2168" s="1096"/>
      <c r="B2168" s="1455">
        <v>1918</v>
      </c>
      <c r="C2168" s="1100">
        <v>0.98519368921771056</v>
      </c>
      <c r="D2168" s="1100">
        <v>1.0037058503262717</v>
      </c>
      <c r="E2168" s="1100">
        <v>0.9952819828500723</v>
      </c>
      <c r="F2168" s="1100">
        <v>1.0138788414769486</v>
      </c>
      <c r="G2168" s="1100">
        <v>0.99726295415941091</v>
      </c>
      <c r="H2168" s="1100">
        <v>0.98748666798814366</v>
      </c>
      <c r="I2168" s="1100">
        <v>0.99704147797405074</v>
      </c>
      <c r="K2168">
        <v>1.1605902576565204</v>
      </c>
      <c r="L2168">
        <v>0</v>
      </c>
      <c r="M2168">
        <v>8.0932599749170963E-4</v>
      </c>
      <c r="N2168">
        <v>7.3419271140667514E-2</v>
      </c>
      <c r="O2168">
        <v>1.048770257798954E-2</v>
      </c>
      <c r="P2168">
        <v>1.3651419116516685E-2</v>
      </c>
      <c r="Q2168">
        <v>4.5325202212059731E-4</v>
      </c>
      <c r="R2168">
        <v>8.0751082530600995E-4</v>
      </c>
      <c r="S2168">
        <v>7.3081920100834682E-2</v>
      </c>
      <c r="T2168">
        <v>0.83943678619284634</v>
      </c>
      <c r="U2168">
        <v>0</v>
      </c>
      <c r="V2168">
        <v>9.2350377199661465E-2</v>
      </c>
      <c r="W2168">
        <v>4.8367160312703293E-2</v>
      </c>
      <c r="X2168">
        <v>7.1464058947544864E-3</v>
      </c>
      <c r="Y2168">
        <v>2.1977782706109391E-3</v>
      </c>
    </row>
    <row r="2169" spans="1:25" x14ac:dyDescent="0.25">
      <c r="A2169" s="1096"/>
      <c r="B2169" s="1455">
        <v>1919</v>
      </c>
      <c r="C2169" s="1100">
        <v>0.99991184809338463</v>
      </c>
      <c r="D2169" s="1100">
        <v>0.96377366338026804</v>
      </c>
      <c r="E2169" s="1100">
        <v>0.99166389849552439</v>
      </c>
      <c r="F2169" s="1100">
        <v>0.97866374657020905</v>
      </c>
      <c r="G2169" s="1100">
        <v>0.98932887946524795</v>
      </c>
      <c r="H2169" s="1100">
        <v>1.0220261876379602</v>
      </c>
      <c r="I2169" s="1100">
        <v>1.0001248971000956</v>
      </c>
      <c r="K2169">
        <v>1.1366983316169521</v>
      </c>
      <c r="L2169">
        <v>0</v>
      </c>
      <c r="M2169">
        <v>8.4512862662577677E-4</v>
      </c>
      <c r="N2169">
        <v>7.5839039778064096E-2</v>
      </c>
      <c r="O2169">
        <v>1.0501302705152503E-2</v>
      </c>
      <c r="P2169">
        <v>1.3241368252222128E-2</v>
      </c>
      <c r="Q2169">
        <v>4.5218629066266281E-4</v>
      </c>
      <c r="R2169">
        <v>8.4329721331426839E-4</v>
      </c>
      <c r="S2169">
        <v>7.5175567442931968E-2</v>
      </c>
      <c r="T2169">
        <v>0.81051576628046762</v>
      </c>
      <c r="U2169">
        <v>0</v>
      </c>
      <c r="V2169">
        <v>9.1640353809326336E-2</v>
      </c>
      <c r="W2169">
        <v>5.0069364422784035E-2</v>
      </c>
      <c r="X2169">
        <v>6.9700370268625427E-3</v>
      </c>
      <c r="Y2169">
        <v>2.2951770217897816E-3</v>
      </c>
    </row>
    <row r="2170" spans="1:25" x14ac:dyDescent="0.25">
      <c r="A2170" s="1096"/>
      <c r="B2170" s="1455">
        <v>1920</v>
      </c>
      <c r="C2170" s="1100">
        <v>1.0300576329390831</v>
      </c>
      <c r="D2170" s="1100">
        <v>0.99255314371918768</v>
      </c>
      <c r="E2170" s="1100">
        <v>0.97690603155029565</v>
      </c>
      <c r="F2170" s="1100">
        <v>0.98380028975414358</v>
      </c>
      <c r="G2170" s="1100">
        <v>1.0220458397426866</v>
      </c>
      <c r="H2170" s="1100">
        <v>1.0292545400089053</v>
      </c>
      <c r="I2170" s="1100">
        <v>1.0036521190356686</v>
      </c>
      <c r="K2170">
        <v>1.1333795306364083</v>
      </c>
      <c r="L2170">
        <v>0</v>
      </c>
      <c r="M2170">
        <v>8.4184915028497249E-4</v>
      </c>
      <c r="N2170">
        <v>7.224782551583947E-2</v>
      </c>
      <c r="O2170">
        <v>1.007000288230759E-2</v>
      </c>
      <c r="P2170">
        <v>1.3135996280550634E-2</v>
      </c>
      <c r="Q2170">
        <v>4.2717411469732125E-4</v>
      </c>
      <c r="R2170">
        <v>8.4003765559873119E-4</v>
      </c>
      <c r="S2170">
        <v>7.2406838546719435E-2</v>
      </c>
      <c r="T2170">
        <v>0.81573837893204293</v>
      </c>
      <c r="U2170">
        <v>0</v>
      </c>
      <c r="V2170">
        <v>9.231238826821693E-2</v>
      </c>
      <c r="W2170">
        <v>4.8123921004264443E-2</v>
      </c>
      <c r="X2170">
        <v>6.6325110062537699E-3</v>
      </c>
      <c r="Y2170">
        <v>2.286305580201002E-3</v>
      </c>
    </row>
    <row r="2171" spans="1:25" x14ac:dyDescent="0.25">
      <c r="A2171" s="1096"/>
      <c r="B2171" s="1455">
        <v>1921</v>
      </c>
      <c r="C2171" s="1100">
        <v>1.0276247883320715</v>
      </c>
      <c r="D2171" s="1100">
        <v>0.99514869136433515</v>
      </c>
      <c r="E2171" s="1100">
        <v>0.96886878071984317</v>
      </c>
      <c r="F2171" s="1100">
        <v>0.98624455976122305</v>
      </c>
      <c r="G2171" s="1100">
        <v>0.98858875822607117</v>
      </c>
      <c r="H2171" s="1100">
        <v>1.0105809226135438</v>
      </c>
      <c r="I2171" s="1100">
        <v>0.99005348864505327</v>
      </c>
      <c r="K2171">
        <v>1.1299785068479926</v>
      </c>
      <c r="L2171">
        <v>0</v>
      </c>
      <c r="M2171">
        <v>8.4152163937885761E-4</v>
      </c>
      <c r="N2171">
        <v>7.0480956260373914E-2</v>
      </c>
      <c r="O2171">
        <v>1.0080750512442824E-2</v>
      </c>
      <c r="P2171">
        <v>1.3049182158674854E-2</v>
      </c>
      <c r="Q2171">
        <v>4.241371778718133E-4</v>
      </c>
      <c r="R2171">
        <v>8.3967738947062897E-4</v>
      </c>
      <c r="S2171">
        <v>7.0757055273387742E-2</v>
      </c>
      <c r="T2171">
        <v>0.81829683436871381</v>
      </c>
      <c r="U2171">
        <v>0</v>
      </c>
      <c r="V2171">
        <v>9.0937421919740358E-2</v>
      </c>
      <c r="W2171">
        <v>4.7176705255377219E-2</v>
      </c>
      <c r="X2171">
        <v>6.4919831167571012E-3</v>
      </c>
      <c r="Y2171">
        <v>2.2853250545620055E-3</v>
      </c>
    </row>
    <row r="2172" spans="1:25" x14ac:dyDescent="0.25">
      <c r="A2172" s="1096"/>
      <c r="B2172" s="1455">
        <v>1922</v>
      </c>
      <c r="C2172" s="1100">
        <v>1.0110330765974129</v>
      </c>
      <c r="D2172" s="1100">
        <v>0.99276944737498696</v>
      </c>
      <c r="E2172" s="1100">
        <v>0.98829272834006776</v>
      </c>
      <c r="F2172" s="1100">
        <v>1.0264243451895971</v>
      </c>
      <c r="G2172" s="1100">
        <v>0.98300689690518239</v>
      </c>
      <c r="H2172" s="1100">
        <v>1.0169114914155113</v>
      </c>
      <c r="I2172" s="1100">
        <v>0.98293798765232665</v>
      </c>
      <c r="K2172">
        <v>1.1689666848398548</v>
      </c>
      <c r="L2172">
        <v>0</v>
      </c>
      <c r="M2172">
        <v>8.2760508847200915E-4</v>
      </c>
      <c r="N2172">
        <v>7.3512613039808425E-2</v>
      </c>
      <c r="O2172">
        <v>1.0262282010120216E-2</v>
      </c>
      <c r="P2172">
        <v>1.3691805182835722E-2</v>
      </c>
      <c r="Q2172">
        <v>4.403908617313347E-4</v>
      </c>
      <c r="R2172">
        <v>8.2580262872347491E-4</v>
      </c>
      <c r="S2172">
        <v>7.1762452815358924E-2</v>
      </c>
      <c r="T2172">
        <v>0.85030064072407519</v>
      </c>
      <c r="U2172">
        <v>0</v>
      </c>
      <c r="V2172">
        <v>9.1096939159762608E-2</v>
      </c>
      <c r="W2172">
        <v>4.8631560086761332E-2</v>
      </c>
      <c r="X2172">
        <v>7.022240889527325E-3</v>
      </c>
      <c r="Y2172">
        <v>2.2475625296219021E-3</v>
      </c>
    </row>
    <row r="2173" spans="1:25" x14ac:dyDescent="0.25">
      <c r="A2173" s="1096"/>
      <c r="B2173" s="1455">
        <v>1923</v>
      </c>
      <c r="C2173" s="1100">
        <v>1.0259031279766728</v>
      </c>
      <c r="D2173" s="1100">
        <v>0.97226014746967582</v>
      </c>
      <c r="E2173" s="1100">
        <v>0.99968869443562669</v>
      </c>
      <c r="F2173" s="1100">
        <v>0.96526938214938718</v>
      </c>
      <c r="G2173" s="1100">
        <v>1.0014852156167922</v>
      </c>
      <c r="H2173" s="1100">
        <v>1.010167514014942</v>
      </c>
      <c r="I2173" s="1100">
        <v>0.96092318725240966</v>
      </c>
      <c r="K2173">
        <v>1.1144902412951521</v>
      </c>
      <c r="L2173">
        <v>0</v>
      </c>
      <c r="M2173">
        <v>7.9792528380383742E-4</v>
      </c>
      <c r="N2173">
        <v>7.3359071310953636E-2</v>
      </c>
      <c r="O2173">
        <v>1.0202009516966655E-2</v>
      </c>
      <c r="P2173">
        <v>1.3086046687598201E-2</v>
      </c>
      <c r="Q2173">
        <v>4.4286515952942485E-4</v>
      </c>
      <c r="R2173">
        <v>7.9617586251688722E-4</v>
      </c>
      <c r="S2173">
        <v>6.9635263627561506E-2</v>
      </c>
      <c r="T2173">
        <v>0.79890882656094508</v>
      </c>
      <c r="U2173">
        <v>0</v>
      </c>
      <c r="V2173">
        <v>9.1533378438519039E-2</v>
      </c>
      <c r="W2173">
        <v>4.8200841500610006E-2</v>
      </c>
      <c r="X2173">
        <v>6.9567596752866303E-3</v>
      </c>
      <c r="Y2173">
        <v>2.1669282384684258E-3</v>
      </c>
    </row>
    <row r="2174" spans="1:25" x14ac:dyDescent="0.25">
      <c r="A2174" s="1096"/>
      <c r="B2174" s="1455">
        <v>1924</v>
      </c>
      <c r="C2174" s="1100">
        <v>0.9953247442981038</v>
      </c>
      <c r="D2174" s="1100">
        <v>0.99316425876223113</v>
      </c>
      <c r="E2174" s="1100">
        <v>0.97499977768739399</v>
      </c>
      <c r="F2174" s="1100">
        <v>1.0434087228838935</v>
      </c>
      <c r="G2174" s="1100">
        <v>1.0215036169050116</v>
      </c>
      <c r="H2174" s="1100">
        <v>1.0163325265900798</v>
      </c>
      <c r="I2174" s="1100">
        <v>1.0097567944325636</v>
      </c>
      <c r="K2174">
        <v>1.1899990976638612</v>
      </c>
      <c r="L2174">
        <v>0</v>
      </c>
      <c r="M2174">
        <v>8.6347122564303799E-4</v>
      </c>
      <c r="N2174">
        <v>7.3675119472017117E-2</v>
      </c>
      <c r="O2174">
        <v>1.04182144636397E-2</v>
      </c>
      <c r="P2174">
        <v>1.3823146240020181E-2</v>
      </c>
      <c r="Q2174">
        <v>4.4108803524838154E-4</v>
      </c>
      <c r="R2174">
        <v>8.6158958093814075E-4</v>
      </c>
      <c r="S2174">
        <v>7.4828695003058776E-2</v>
      </c>
      <c r="T2174">
        <v>0.86529717453535715</v>
      </c>
      <c r="U2174">
        <v>0</v>
      </c>
      <c r="V2174">
        <v>9.3128250395764223E-2</v>
      </c>
      <c r="W2174">
        <v>4.9131335686064211E-2</v>
      </c>
      <c r="X2174">
        <v>6.912992661009594E-3</v>
      </c>
      <c r="Y2174">
        <v>2.3449628163845948E-3</v>
      </c>
    </row>
    <row r="2175" spans="1:25" x14ac:dyDescent="0.25">
      <c r="A2175" s="1096"/>
      <c r="B2175" s="1455">
        <v>1925</v>
      </c>
      <c r="C2175" s="1100">
        <v>1.0275538362351839</v>
      </c>
      <c r="D2175" s="1100">
        <v>1.0022816372481462</v>
      </c>
      <c r="E2175" s="1100">
        <v>0.96569525546948887</v>
      </c>
      <c r="F2175" s="1100">
        <v>0.9759151501172395</v>
      </c>
      <c r="G2175" s="1100">
        <v>1.0027844455048442</v>
      </c>
      <c r="H2175" s="1100">
        <v>0.96043552522355102</v>
      </c>
      <c r="I2175" s="1100">
        <v>0.96475785840102124</v>
      </c>
      <c r="K2175">
        <v>1.1113958419441461</v>
      </c>
      <c r="L2175">
        <v>0</v>
      </c>
      <c r="M2175">
        <v>8.0277854172561291E-4</v>
      </c>
      <c r="N2175">
        <v>6.6585312892799245E-2</v>
      </c>
      <c r="O2175">
        <v>1.0051681866895045E-2</v>
      </c>
      <c r="P2175">
        <v>1.2861588877027935E-2</v>
      </c>
      <c r="Q2175">
        <v>4.2154253257260593E-4</v>
      </c>
      <c r="R2175">
        <v>8.0092734268084301E-4</v>
      </c>
      <c r="S2175">
        <v>6.6785839518817114E-2</v>
      </c>
      <c r="T2175">
        <v>0.8099347411855593</v>
      </c>
      <c r="U2175">
        <v>0</v>
      </c>
      <c r="V2175">
        <v>9.1545937274706418E-2</v>
      </c>
      <c r="W2175">
        <v>4.4655496575640601E-2</v>
      </c>
      <c r="X2175">
        <v>6.3756922180211555E-3</v>
      </c>
      <c r="Y2175">
        <v>2.1798602011496981E-3</v>
      </c>
    </row>
    <row r="2176" spans="1:25" x14ac:dyDescent="0.25">
      <c r="A2176" s="1096"/>
      <c r="B2176" s="1455">
        <v>1926</v>
      </c>
      <c r="C2176" s="1100">
        <v>0.99886287234798032</v>
      </c>
      <c r="D2176" s="1100">
        <v>1.0208475418780756</v>
      </c>
      <c r="E2176" s="1100">
        <v>0.96212862339307037</v>
      </c>
      <c r="F2176" s="1100">
        <v>1.0086906189561806</v>
      </c>
      <c r="G2176" s="1100">
        <v>1.009739113788072</v>
      </c>
      <c r="H2176" s="1100">
        <v>1.0287026587678672</v>
      </c>
      <c r="I2176" s="1100">
        <v>0.97488073267014297</v>
      </c>
      <c r="K2176">
        <v>1.1556152933454251</v>
      </c>
      <c r="L2176">
        <v>0</v>
      </c>
      <c r="M2176">
        <v>8.8454980862438077E-4</v>
      </c>
      <c r="N2176">
        <v>7.2590432840617572E-2</v>
      </c>
      <c r="O2176">
        <v>1.0263612599379862E-2</v>
      </c>
      <c r="P2176">
        <v>1.3264721296859948E-2</v>
      </c>
      <c r="Q2176">
        <v>4.2885883463475688E-4</v>
      </c>
      <c r="R2176">
        <v>8.8264540934506776E-4</v>
      </c>
      <c r="S2176">
        <v>7.1453996582519066E-2</v>
      </c>
      <c r="T2176">
        <v>0.83737824601213751</v>
      </c>
      <c r="U2176">
        <v>0</v>
      </c>
      <c r="V2176">
        <v>9.2535405059058676E-2</v>
      </c>
      <c r="W2176">
        <v>4.8789143097911755E-2</v>
      </c>
      <c r="X2176">
        <v>6.5105115813279997E-3</v>
      </c>
      <c r="Y2176">
        <v>2.4022698402562819E-3</v>
      </c>
    </row>
    <row r="2177" spans="1:25" x14ac:dyDescent="0.25">
      <c r="A2177" s="1096"/>
      <c r="B2177" s="1455">
        <v>1927</v>
      </c>
      <c r="C2177" s="1100">
        <v>1.0007599100432965</v>
      </c>
      <c r="D2177" s="1100">
        <v>1.022434744650303</v>
      </c>
      <c r="E2177" s="1100">
        <v>1.0125124524570994</v>
      </c>
      <c r="F2177" s="1100">
        <v>0.99931845153983356</v>
      </c>
      <c r="G2177" s="1100">
        <v>0.9781027583792139</v>
      </c>
      <c r="H2177" s="1100">
        <v>1.010822963373585</v>
      </c>
      <c r="I2177" s="1100">
        <v>0.99772856052003356</v>
      </c>
      <c r="K2177">
        <v>1.1467669672070189</v>
      </c>
      <c r="L2177">
        <v>0</v>
      </c>
      <c r="M2177">
        <v>7.8111656684274461E-4</v>
      </c>
      <c r="N2177">
        <v>7.4649438863406775E-2</v>
      </c>
      <c r="O2177">
        <v>1.0254091698092955E-2</v>
      </c>
      <c r="P2177">
        <v>1.3618314863839829E-2</v>
      </c>
      <c r="Q2177">
        <v>4.5088136148747573E-4</v>
      </c>
      <c r="R2177">
        <v>7.7940510852132251E-4</v>
      </c>
      <c r="S2177">
        <v>7.2272314269253152E-2</v>
      </c>
      <c r="T2177">
        <v>0.82624378424732781</v>
      </c>
      <c r="U2177">
        <v>0</v>
      </c>
      <c r="V2177">
        <v>9.1142775518614397E-2</v>
      </c>
      <c r="W2177">
        <v>4.8678046410400744E-2</v>
      </c>
      <c r="X2177">
        <v>7.3377476583479182E-3</v>
      </c>
      <c r="Y2177">
        <v>2.1212837745700677E-3</v>
      </c>
    </row>
    <row r="2178" spans="1:25" x14ac:dyDescent="0.25">
      <c r="A2178" s="1096"/>
      <c r="B2178" s="1455">
        <v>1928</v>
      </c>
      <c r="C2178" s="1100">
        <v>0.96473403393663781</v>
      </c>
      <c r="D2178" s="1100">
        <v>0.99492647134962542</v>
      </c>
      <c r="E2178" s="1100">
        <v>1.02190355751881</v>
      </c>
      <c r="F2178" s="1100">
        <v>1.0415204235163478</v>
      </c>
      <c r="G2178" s="1100">
        <v>1.0137716626316231</v>
      </c>
      <c r="H2178" s="1100">
        <v>1.0076287279128593</v>
      </c>
      <c r="I2178" s="1100">
        <v>1.0291532183939982</v>
      </c>
      <c r="K2178">
        <v>1.1977235095004342</v>
      </c>
      <c r="L2178">
        <v>0</v>
      </c>
      <c r="M2178">
        <v>8.0079070978184117E-4</v>
      </c>
      <c r="N2178">
        <v>7.8728719911998243E-2</v>
      </c>
      <c r="O2178">
        <v>1.075688673974803E-2</v>
      </c>
      <c r="P2178">
        <v>1.4304698460408228E-2</v>
      </c>
      <c r="Q2178">
        <v>4.7743312572523706E-4</v>
      </c>
      <c r="R2178">
        <v>7.9903058254634769E-4</v>
      </c>
      <c r="S2178">
        <v>7.8293763528798369E-2</v>
      </c>
      <c r="T2178">
        <v>0.86049458583488336</v>
      </c>
      <c r="U2178">
        <v>0</v>
      </c>
      <c r="V2178">
        <v>9.3593983073858453E-2</v>
      </c>
      <c r="W2178">
        <v>5.1056188316213696E-2</v>
      </c>
      <c r="X2178">
        <v>7.8443127907035348E-3</v>
      </c>
      <c r="Y2178">
        <v>2.1746978453304126E-3</v>
      </c>
    </row>
    <row r="2179" spans="1:25" x14ac:dyDescent="0.25">
      <c r="A2179" s="1096"/>
      <c r="B2179" s="1455">
        <v>1929</v>
      </c>
      <c r="C2179" s="1100">
        <v>0.98736067296804075</v>
      </c>
      <c r="D2179" s="1100">
        <v>0.97045714837034969</v>
      </c>
      <c r="E2179" s="1100">
        <v>1.016406269556684</v>
      </c>
      <c r="F2179" s="1100">
        <v>1.0151071306079811</v>
      </c>
      <c r="G2179" s="1100">
        <v>1.015096402212359</v>
      </c>
      <c r="H2179" s="1100">
        <v>1.0276944503062502</v>
      </c>
      <c r="I2179" s="1100">
        <v>1.0404158643175601</v>
      </c>
      <c r="K2179">
        <v>1.1762929960867949</v>
      </c>
      <c r="L2179">
        <v>0</v>
      </c>
      <c r="M2179">
        <v>8.1528029821892269E-4</v>
      </c>
      <c r="N2179">
        <v>7.8838244965287754E-2</v>
      </c>
      <c r="O2179">
        <v>1.0613742344249427E-2</v>
      </c>
      <c r="P2179">
        <v>1.3956120588643995E-2</v>
      </c>
      <c r="Q2179">
        <v>4.6851114497087381E-4</v>
      </c>
      <c r="R2179">
        <v>8.1352331135690231E-4</v>
      </c>
      <c r="S2179">
        <v>7.9195511486305006E-2</v>
      </c>
      <c r="T2179">
        <v>0.8390381474262455</v>
      </c>
      <c r="U2179">
        <v>0</v>
      </c>
      <c r="V2179">
        <v>9.30608205787085E-2</v>
      </c>
      <c r="W2179">
        <v>5.1292026320560034E-2</v>
      </c>
      <c r="X2179">
        <v>7.6174859430583764E-3</v>
      </c>
      <c r="Y2179">
        <v>2.2141422756259735E-3</v>
      </c>
    </row>
    <row r="2180" spans="1:25" x14ac:dyDescent="0.25">
      <c r="A2180" s="1096"/>
      <c r="B2180" s="1455">
        <v>1930</v>
      </c>
      <c r="C2180" s="1100">
        <v>0.98419877745245699</v>
      </c>
      <c r="D2180" s="1100">
        <v>0.9746092476339242</v>
      </c>
      <c r="E2180" s="1100">
        <v>1.0094798866342956</v>
      </c>
      <c r="F2180" s="1100">
        <v>0.96157628147714802</v>
      </c>
      <c r="G2180" s="1100">
        <v>0.96432223530519956</v>
      </c>
      <c r="H2180" s="1100">
        <v>0.99024086263296274</v>
      </c>
      <c r="I2180" s="1100">
        <v>0.97108563561004924</v>
      </c>
      <c r="K2180">
        <v>1.1172556187321911</v>
      </c>
      <c r="L2180">
        <v>0</v>
      </c>
      <c r="M2180">
        <v>7.9815501355581862E-4</v>
      </c>
      <c r="N2180">
        <v>7.5579203833377157E-2</v>
      </c>
      <c r="O2180">
        <v>1.0627340504715831E-2</v>
      </c>
      <c r="P2180">
        <v>1.3162364860146257E-2</v>
      </c>
      <c r="Q2180">
        <v>4.6587977203410737E-4</v>
      </c>
      <c r="R2180">
        <v>7.9636987479403528E-4</v>
      </c>
      <c r="S2180">
        <v>7.2466098433414963E-2</v>
      </c>
      <c r="T2180">
        <v>0.79523029982062421</v>
      </c>
      <c r="U2180">
        <v>0</v>
      </c>
      <c r="V2180">
        <v>9.0969945889202902E-2</v>
      </c>
      <c r="W2180">
        <v>4.9372476946442069E-2</v>
      </c>
      <c r="X2180">
        <v>7.2163375350644855E-3</v>
      </c>
      <c r="Y2180">
        <v>2.1674562759306927E-3</v>
      </c>
    </row>
    <row r="2181" spans="1:25" x14ac:dyDescent="0.25">
      <c r="A2181" s="1096"/>
      <c r="B2181" s="1455">
        <v>1931</v>
      </c>
      <c r="C2181" s="1100">
        <v>1.0102490613279054</v>
      </c>
      <c r="D2181" s="1100">
        <v>1.0058005500029392</v>
      </c>
      <c r="E2181" s="1100">
        <v>0.99663419360461714</v>
      </c>
      <c r="F2181" s="1100">
        <v>1.0083366942374328</v>
      </c>
      <c r="G2181" s="1100">
        <v>0.98942213091702003</v>
      </c>
      <c r="H2181" s="1100">
        <v>1.0092092590286934</v>
      </c>
      <c r="I2181" s="1100">
        <v>0.97407176885657731</v>
      </c>
      <c r="K2181">
        <v>1.1514274781327207</v>
      </c>
      <c r="L2181">
        <v>0</v>
      </c>
      <c r="M2181">
        <v>8.0368727243489331E-4</v>
      </c>
      <c r="N2181">
        <v>7.3209836912441317E-2</v>
      </c>
      <c r="O2181">
        <v>1.0219506538566703E-2</v>
      </c>
      <c r="P2181">
        <v>1.3552146013324095E-2</v>
      </c>
      <c r="Q2181">
        <v>4.4226333395961363E-4</v>
      </c>
      <c r="R2181">
        <v>8.0192354511442806E-4</v>
      </c>
      <c r="S2181">
        <v>7.0404539819303807E-2</v>
      </c>
      <c r="T2181">
        <v>0.83475774076855769</v>
      </c>
      <c r="U2181">
        <v>0</v>
      </c>
      <c r="V2181">
        <v>9.1391498984684294E-2</v>
      </c>
      <c r="W2181">
        <v>4.8190320093440056E-2</v>
      </c>
      <c r="X2181">
        <v>7.0788178599852638E-3</v>
      </c>
      <c r="Y2181">
        <v>2.1825715357758728E-3</v>
      </c>
    </row>
    <row r="2182" spans="1:25" x14ac:dyDescent="0.25">
      <c r="A2182" s="1096"/>
      <c r="B2182" s="1455">
        <v>1932</v>
      </c>
      <c r="C2182" s="1100">
        <v>0.97543899672328249</v>
      </c>
      <c r="D2182" s="1100">
        <v>0.97596108086798894</v>
      </c>
      <c r="E2182" s="1100">
        <v>0.99989154965708038</v>
      </c>
      <c r="F2182" s="1100">
        <v>1.0204495322300535</v>
      </c>
      <c r="G2182" s="1100">
        <v>1.0069600432933536</v>
      </c>
      <c r="H2182" s="1100">
        <v>0.96562070035222836</v>
      </c>
      <c r="I2182" s="1100">
        <v>0.98974625168120045</v>
      </c>
      <c r="K2182">
        <v>1.1674765540828214</v>
      </c>
      <c r="L2182">
        <v>0</v>
      </c>
      <c r="M2182">
        <v>8.0064296491982781E-4</v>
      </c>
      <c r="N2182">
        <v>7.3646588594783957E-2</v>
      </c>
      <c r="O2182">
        <v>1.071358314511261E-2</v>
      </c>
      <c r="P2182">
        <v>1.3782358754122821E-2</v>
      </c>
      <c r="Q2182">
        <v>4.6516721812290196E-4</v>
      </c>
      <c r="R2182">
        <v>7.9880660458907747E-4</v>
      </c>
      <c r="S2182">
        <v>7.3430974869383436E-2</v>
      </c>
      <c r="T2182">
        <v>0.84456517882930815</v>
      </c>
      <c r="U2182">
        <v>0</v>
      </c>
      <c r="V2182">
        <v>9.3017236177258725E-2</v>
      </c>
      <c r="W2182">
        <v>4.8383920989588783E-2</v>
      </c>
      <c r="X2182">
        <v>7.2992936143056507E-3</v>
      </c>
      <c r="Y2182">
        <v>2.1740882511650365E-3</v>
      </c>
    </row>
    <row r="2183" spans="1:25" x14ac:dyDescent="0.25">
      <c r="A2183" s="1096"/>
      <c r="B2183" s="1455">
        <v>1933</v>
      </c>
      <c r="C2183" s="1100">
        <v>1.0220660593138977</v>
      </c>
      <c r="D2183" s="1100">
        <v>1.001726499926278</v>
      </c>
      <c r="E2183" s="1100">
        <v>1.0104744911084305</v>
      </c>
      <c r="F2183" s="1100">
        <v>1.0149861443194403</v>
      </c>
      <c r="G2183" s="1100">
        <v>1.0059460536126181</v>
      </c>
      <c r="H2183" s="1100">
        <v>1.0040062276564674</v>
      </c>
      <c r="I2183" s="1100">
        <v>1.0292139405084175</v>
      </c>
      <c r="K2183">
        <v>1.1591808802858774</v>
      </c>
      <c r="L2183">
        <v>0</v>
      </c>
      <c r="M2183">
        <v>7.6916910533373522E-4</v>
      </c>
      <c r="N2183">
        <v>7.305573387055142E-2</v>
      </c>
      <c r="O2183">
        <v>1.0122194402945976E-2</v>
      </c>
      <c r="P2183">
        <v>1.3803601557813143E-2</v>
      </c>
      <c r="Q2183">
        <v>4.4417665898259675E-4</v>
      </c>
      <c r="R2183">
        <v>7.6747238211430585E-4</v>
      </c>
      <c r="S2183">
        <v>7.3486614309896919E-2</v>
      </c>
      <c r="T2183">
        <v>0.83933412134209351</v>
      </c>
      <c r="U2183">
        <v>0</v>
      </c>
      <c r="V2183">
        <v>9.1816305509571219E-2</v>
      </c>
      <c r="W2183">
        <v>4.7696025939549191E-2</v>
      </c>
      <c r="X2183">
        <v>7.3349965907794999E-3</v>
      </c>
      <c r="Y2183">
        <v>2.0888068269123718E-3</v>
      </c>
    </row>
    <row r="2184" spans="1:25" x14ac:dyDescent="0.25">
      <c r="A2184" s="1096"/>
      <c r="B2184" s="1455">
        <v>1934</v>
      </c>
      <c r="C2184" s="1100">
        <v>1.0303785656564526</v>
      </c>
      <c r="D2184" s="1100">
        <v>0.99064933185324333</v>
      </c>
      <c r="E2184" s="1100">
        <v>1.0052475351799834</v>
      </c>
      <c r="F2184" s="1100">
        <v>0.99984357342432617</v>
      </c>
      <c r="G2184" s="1100">
        <v>1.0027371370640072</v>
      </c>
      <c r="H2184" s="1100">
        <v>1.0412204341798199</v>
      </c>
      <c r="I2184" s="1100">
        <v>1.0100357170057257</v>
      </c>
      <c r="K2184">
        <v>1.1498642915488773</v>
      </c>
      <c r="L2184">
        <v>0</v>
      </c>
      <c r="M2184">
        <v>8.0344548194415935E-4</v>
      </c>
      <c r="N2184">
        <v>7.5122301870019975E-2</v>
      </c>
      <c r="O2184">
        <v>1.00836241292457E-2</v>
      </c>
      <c r="P2184">
        <v>1.3578195360686404E-2</v>
      </c>
      <c r="Q2184">
        <v>4.4017544016164786E-4</v>
      </c>
      <c r="R2184">
        <v>8.0173649278370549E-4</v>
      </c>
      <c r="S2184">
        <v>7.3428612765553444E-2</v>
      </c>
      <c r="T2184">
        <v>0.82715676595791388</v>
      </c>
      <c r="U2184">
        <v>0</v>
      </c>
      <c r="V2184">
        <v>9.1482742358277233E-2</v>
      </c>
      <c r="W2184">
        <v>4.9196886747251346E-2</v>
      </c>
      <c r="X2184">
        <v>7.1946334679350646E-3</v>
      </c>
      <c r="Y2184">
        <v>2.1820624409934304E-3</v>
      </c>
    </row>
    <row r="2185" spans="1:25" x14ac:dyDescent="0.25">
      <c r="A2185" s="1096"/>
      <c r="B2185" s="1455">
        <v>1935</v>
      </c>
      <c r="C2185" s="1100">
        <v>0.99348610338169929</v>
      </c>
      <c r="D2185" s="1100">
        <v>1.0142209128010742</v>
      </c>
      <c r="E2185" s="1100">
        <v>0.96904750885380064</v>
      </c>
      <c r="F2185" s="1100">
        <v>1.0218362872297546</v>
      </c>
      <c r="G2185" s="1100">
        <v>0.97262238430167769</v>
      </c>
      <c r="H2185" s="1100">
        <v>1.0074408830829433</v>
      </c>
      <c r="I2185" s="1100">
        <v>0.9597778271056584</v>
      </c>
      <c r="K2185">
        <v>1.1626970107049444</v>
      </c>
      <c r="L2185">
        <v>0</v>
      </c>
      <c r="M2185">
        <v>8.6085198827020248E-4</v>
      </c>
      <c r="N2185">
        <v>7.2138491754918738E-2</v>
      </c>
      <c r="O2185">
        <v>1.0348329590366141E-2</v>
      </c>
      <c r="P2185">
        <v>1.3437738195816736E-2</v>
      </c>
      <c r="Q2185">
        <v>4.3547488038411E-4</v>
      </c>
      <c r="R2185">
        <v>8.5895949434670828E-4</v>
      </c>
      <c r="S2185">
        <v>7.0140894163875769E-2</v>
      </c>
      <c r="T2185">
        <v>0.84781536711291972</v>
      </c>
      <c r="U2185">
        <v>0</v>
      </c>
      <c r="V2185">
        <v>9.1082801771617386E-2</v>
      </c>
      <c r="W2185">
        <v>4.8280926529632506E-2</v>
      </c>
      <c r="X2185">
        <v>6.6810746116454595E-3</v>
      </c>
      <c r="Y2185">
        <v>2.3378045876905284E-3</v>
      </c>
    </row>
    <row r="2186" spans="1:25" x14ac:dyDescent="0.25">
      <c r="A2186" s="1096"/>
      <c r="B2186" s="1455">
        <v>1936</v>
      </c>
      <c r="C2186" s="1100">
        <v>1.0033308431034069</v>
      </c>
      <c r="D2186" s="1100">
        <v>0.99533138070780069</v>
      </c>
      <c r="E2186" s="1100">
        <v>0.9993055287785515</v>
      </c>
      <c r="F2186" s="1100">
        <v>0.95847307941210125</v>
      </c>
      <c r="G2186" s="1100">
        <v>1.0148838997939207</v>
      </c>
      <c r="H2186" s="1100">
        <v>0.96791688258182262</v>
      </c>
      <c r="I2186" s="1100">
        <v>1.0163093273034822</v>
      </c>
      <c r="K2186">
        <v>1.1094598023473534</v>
      </c>
      <c r="L2186">
        <v>0</v>
      </c>
      <c r="M2186">
        <v>7.750686155160412E-4</v>
      </c>
      <c r="N2186">
        <v>7.1168419903860983E-2</v>
      </c>
      <c r="O2186">
        <v>1.0334002639419061E-2</v>
      </c>
      <c r="P2186">
        <v>1.3062480544633602E-2</v>
      </c>
      <c r="Q2186">
        <v>4.4842213705422146E-4</v>
      </c>
      <c r="R2186">
        <v>7.7329512992437152E-4</v>
      </c>
      <c r="S2186">
        <v>7.2660182576221213E-2</v>
      </c>
      <c r="T2186">
        <v>0.79330816103551827</v>
      </c>
      <c r="U2186">
        <v>0</v>
      </c>
      <c r="V2186">
        <v>9.2649634554377372E-2</v>
      </c>
      <c r="W2186">
        <v>4.6772120675741435E-2</v>
      </c>
      <c r="X2186">
        <v>6.9534973391353503E-3</v>
      </c>
      <c r="Y2186">
        <v>2.1046544269830701E-3</v>
      </c>
    </row>
    <row r="2187" spans="1:25" x14ac:dyDescent="0.25">
      <c r="A2187" s="1096"/>
      <c r="B2187" s="1455">
        <v>1937</v>
      </c>
      <c r="C2187" s="1100">
        <v>0.98188141396760098</v>
      </c>
      <c r="D2187" s="1100">
        <v>0.97165246170137864</v>
      </c>
      <c r="E2187" s="1100">
        <v>0.99106885948218315</v>
      </c>
      <c r="F2187" s="1100">
        <v>0.99450244628963613</v>
      </c>
      <c r="G2187" s="1100">
        <v>0.97780133506753253</v>
      </c>
      <c r="H2187" s="1100">
        <v>0.99935671466665299</v>
      </c>
      <c r="I2187" s="1100">
        <v>0.95879158449569635</v>
      </c>
      <c r="K2187">
        <v>1.1461617611943453</v>
      </c>
      <c r="L2187">
        <v>0</v>
      </c>
      <c r="M2187">
        <v>8.3985625813100555E-4</v>
      </c>
      <c r="N2187">
        <v>7.5226756287861823E-2</v>
      </c>
      <c r="O2187">
        <v>1.0659168518483815E-2</v>
      </c>
      <c r="P2187">
        <v>1.3372388737979059E-2</v>
      </c>
      <c r="Q2187">
        <v>4.5870823402830802E-4</v>
      </c>
      <c r="R2187">
        <v>8.3799498543828013E-4</v>
      </c>
      <c r="S2187">
        <v>7.2174734347982675E-2</v>
      </c>
      <c r="T2187">
        <v>0.82367250138698533</v>
      </c>
      <c r="U2187">
        <v>0</v>
      </c>
      <c r="V2187">
        <v>9.1602424600073298E-2</v>
      </c>
      <c r="W2187">
        <v>4.9682819273520092E-2</v>
      </c>
      <c r="X2187">
        <v>7.0333749747333455E-3</v>
      </c>
      <c r="Y2187">
        <v>2.2807461053902908E-3</v>
      </c>
    </row>
    <row r="2188" spans="1:25" x14ac:dyDescent="0.25">
      <c r="A2188" s="1096"/>
      <c r="B2188" s="1455">
        <v>1938</v>
      </c>
      <c r="C2188" s="1100">
        <v>1.0056958866114247</v>
      </c>
      <c r="D2188" s="1100">
        <v>1.0231527967679526</v>
      </c>
      <c r="E2188" s="1100">
        <v>1.0396950594253547</v>
      </c>
      <c r="F2188" s="1100">
        <v>0.98708966713444568</v>
      </c>
      <c r="G2188" s="1100">
        <v>0.9983128007646952</v>
      </c>
      <c r="H2188" s="1100">
        <v>1.0234947050432219</v>
      </c>
      <c r="I2188" s="1100">
        <v>0.98089592773696888</v>
      </c>
      <c r="K2188">
        <v>1.1382873240077003</v>
      </c>
      <c r="L2188">
        <v>0</v>
      </c>
      <c r="M2188">
        <v>7.4350259309832647E-4</v>
      </c>
      <c r="N2188">
        <v>7.7126384765246775E-2</v>
      </c>
      <c r="O2188">
        <v>1.0209699807460759E-2</v>
      </c>
      <c r="P2188">
        <v>1.372018230835776E-2</v>
      </c>
      <c r="Q2188">
        <v>4.611848340298839E-4</v>
      </c>
      <c r="R2188">
        <v>7.418937174986012E-4</v>
      </c>
      <c r="S2188">
        <v>7.1208522285281545E-2</v>
      </c>
      <c r="T2188">
        <v>0.81437925140613654</v>
      </c>
      <c r="U2188">
        <v>0</v>
      </c>
      <c r="V2188">
        <v>9.1889677998752792E-2</v>
      </c>
      <c r="W2188">
        <v>4.9503482073533701E-2</v>
      </c>
      <c r="X2188">
        <v>7.7713572706680336E-3</v>
      </c>
      <c r="Y2188">
        <v>2.0191901338329479E-3</v>
      </c>
    </row>
    <row r="2189" spans="1:25" x14ac:dyDescent="0.25">
      <c r="A2189" s="1096"/>
      <c r="B2189" s="1455">
        <v>1939</v>
      </c>
      <c r="C2189" s="1100">
        <v>0.98958307901028075</v>
      </c>
      <c r="D2189" s="1100">
        <v>0.99471764668954776</v>
      </c>
      <c r="E2189" s="1100">
        <v>1.0176211679604068</v>
      </c>
      <c r="F2189" s="1100">
        <v>1.0026396550788648</v>
      </c>
      <c r="G2189" s="1100">
        <v>0.96413311668805934</v>
      </c>
      <c r="H2189" s="1100">
        <v>1.0035412360020246</v>
      </c>
      <c r="I2189" s="1100">
        <v>1.0044623416745799</v>
      </c>
      <c r="K2189">
        <v>1.1537618568109118</v>
      </c>
      <c r="L2189">
        <v>0</v>
      </c>
      <c r="M2189">
        <v>7.8453988559137931E-4</v>
      </c>
      <c r="N2189">
        <v>7.6140290254534476E-2</v>
      </c>
      <c r="O2189">
        <v>1.0486231525179954E-2</v>
      </c>
      <c r="P2189">
        <v>1.3727030029486694E-2</v>
      </c>
      <c r="Q2189">
        <v>4.6344289153712424E-4</v>
      </c>
      <c r="R2189">
        <v>7.8280845381741861E-4</v>
      </c>
      <c r="S2189">
        <v>7.4330208603925224E-2</v>
      </c>
      <c r="T2189">
        <v>0.82865316613998863</v>
      </c>
      <c r="U2189">
        <v>0</v>
      </c>
      <c r="V2189">
        <v>9.0826356203085573E-2</v>
      </c>
      <c r="W2189">
        <v>4.9501461678330465E-2</v>
      </c>
      <c r="X2189">
        <v>7.5048543580640186E-3</v>
      </c>
      <c r="Y2189">
        <v>2.1305465585535655E-3</v>
      </c>
    </row>
    <row r="2190" spans="1:25" x14ac:dyDescent="0.25">
      <c r="A2190" s="1096"/>
      <c r="B2190" s="1455">
        <v>1940</v>
      </c>
      <c r="C2190" s="1100">
        <v>0.99892250520154469</v>
      </c>
      <c r="D2190" s="1100">
        <v>0.99614863030950074</v>
      </c>
      <c r="E2190" s="1100">
        <v>0.98294083213549599</v>
      </c>
      <c r="F2190" s="1100">
        <v>0.99918586779934282</v>
      </c>
      <c r="G2190" s="1100">
        <v>1.0200633327731965</v>
      </c>
      <c r="H2190" s="1100">
        <v>1.0061840747695536</v>
      </c>
      <c r="I2190" s="1100">
        <v>0.96742294100412962</v>
      </c>
      <c r="K2190">
        <v>1.1469733871460837</v>
      </c>
      <c r="L2190">
        <v>0</v>
      </c>
      <c r="M2190">
        <v>8.3689534673517805E-4</v>
      </c>
      <c r="N2190">
        <v>7.3142553881384853E-2</v>
      </c>
      <c r="O2190">
        <v>1.037083785333039E-2</v>
      </c>
      <c r="P2190">
        <v>1.3351773508180101E-2</v>
      </c>
      <c r="Q2190">
        <v>4.4264254097403221E-4</v>
      </c>
      <c r="R2190">
        <v>8.3505322090734471E-4</v>
      </c>
      <c r="S2190">
        <v>7.093230316036167E-2</v>
      </c>
      <c r="T2190">
        <v>0.82809252419735291</v>
      </c>
      <c r="U2190">
        <v>0</v>
      </c>
      <c r="V2190">
        <v>9.2977958394218171E-2</v>
      </c>
      <c r="W2190">
        <v>4.8542674251086007E-2</v>
      </c>
      <c r="X2190">
        <v>6.849221892934073E-3</v>
      </c>
      <c r="Y2190">
        <v>2.2727395920895017E-3</v>
      </c>
    </row>
    <row r="2191" spans="1:25" x14ac:dyDescent="0.25">
      <c r="A2191" s="1096"/>
      <c r="B2191" s="1455">
        <v>1941</v>
      </c>
      <c r="C2191" s="1100">
        <v>1.0020207468162174</v>
      </c>
      <c r="D2191" s="1100">
        <v>0.99211851785935767</v>
      </c>
      <c r="E2191" s="1100">
        <v>0.99848472793601517</v>
      </c>
      <c r="F2191" s="1100">
        <v>0.97524642630123126</v>
      </c>
      <c r="G2191" s="1100">
        <v>1.008186742018544</v>
      </c>
      <c r="H2191" s="1100">
        <v>0.98922721534366753</v>
      </c>
      <c r="I2191" s="1100">
        <v>0.98553699335838163</v>
      </c>
      <c r="K2191">
        <v>1.1251593449262105</v>
      </c>
      <c r="L2191">
        <v>0</v>
      </c>
      <c r="M2191">
        <v>7.9554829244729976E-4</v>
      </c>
      <c r="N2191">
        <v>7.287156862228876E-2</v>
      </c>
      <c r="O2191">
        <v>1.0360635663986026E-2</v>
      </c>
      <c r="P2191">
        <v>1.3225267454056618E-2</v>
      </c>
      <c r="Q2191">
        <v>4.4920682187249455E-4</v>
      </c>
      <c r="R2191">
        <v>7.9376716059715322E-4</v>
      </c>
      <c r="S2191">
        <v>7.1524432016517592E-2</v>
      </c>
      <c r="T2191">
        <v>0.80724413456543886</v>
      </c>
      <c r="U2191">
        <v>0</v>
      </c>
      <c r="V2191">
        <v>9.2395484022097366E-2</v>
      </c>
      <c r="W2191">
        <v>4.7914825053896541E-2</v>
      </c>
      <c r="X2191">
        <v>7.0151992920337311E-3</v>
      </c>
      <c r="Y2191">
        <v>2.1603725458712838E-3</v>
      </c>
    </row>
    <row r="2192" spans="1:25" x14ac:dyDescent="0.25">
      <c r="A2192" s="1096"/>
      <c r="B2192" s="1455">
        <v>1942</v>
      </c>
      <c r="C2192" s="1100">
        <v>1.008640622395421</v>
      </c>
      <c r="D2192" s="1100">
        <v>1.0029438602548859</v>
      </c>
      <c r="E2192" s="1100">
        <v>1.0090304383510342</v>
      </c>
      <c r="F2192" s="1100">
        <v>0.96270068037485657</v>
      </c>
      <c r="G2192" s="1100">
        <v>1.0135382691847707</v>
      </c>
      <c r="H2192" s="1100">
        <v>0.97430463976650583</v>
      </c>
      <c r="I2192" s="1100">
        <v>1.0376789033300824</v>
      </c>
      <c r="K2192">
        <v>1.1140816412794632</v>
      </c>
      <c r="L2192">
        <v>0</v>
      </c>
      <c r="M2192">
        <v>7.5825375326648713E-4</v>
      </c>
      <c r="N2192">
        <v>7.1700864599588104E-2</v>
      </c>
      <c r="O2192">
        <v>1.0251474678571345E-2</v>
      </c>
      <c r="P2192">
        <v>1.3209789747173736E-2</v>
      </c>
      <c r="Q2192">
        <v>4.4920067394127277E-4</v>
      </c>
      <c r="R2192">
        <v>7.5653011798231407E-4</v>
      </c>
      <c r="S2192">
        <v>7.3786813815313698E-2</v>
      </c>
      <c r="T2192">
        <v>0.79618870157223542</v>
      </c>
      <c r="U2192">
        <v>0</v>
      </c>
      <c r="V2192">
        <v>9.2463440508221972E-2</v>
      </c>
      <c r="W2192">
        <v>4.6851355870390632E-2</v>
      </c>
      <c r="X2192">
        <v>7.1226978582492563E-3</v>
      </c>
      <c r="Y2192">
        <v>2.0590255910614909E-3</v>
      </c>
    </row>
    <row r="2193" spans="1:25" x14ac:dyDescent="0.25">
      <c r="A2193" s="1096"/>
      <c r="B2193" s="1455">
        <v>1943</v>
      </c>
      <c r="C2193" s="1100">
        <v>0.97945930930422487</v>
      </c>
      <c r="D2193" s="1100">
        <v>1.009672522333517</v>
      </c>
      <c r="E2193" s="1100">
        <v>1.0089938827155396</v>
      </c>
      <c r="F2193" s="1100">
        <v>1.0106434750496847</v>
      </c>
      <c r="G2193" s="1100">
        <v>0.99452440965062849</v>
      </c>
      <c r="H2193" s="1100">
        <v>1.0066683267598822</v>
      </c>
      <c r="I2193" s="1100">
        <v>0.9803680732991279</v>
      </c>
      <c r="K2193">
        <v>1.1611961685917265</v>
      </c>
      <c r="L2193">
        <v>0</v>
      </c>
      <c r="M2193">
        <v>8.0468827099123381E-4</v>
      </c>
      <c r="N2193">
        <v>7.6088911612503932E-2</v>
      </c>
      <c r="O2193">
        <v>1.0528689838772224E-2</v>
      </c>
      <c r="P2193">
        <v>1.3739657054687533E-2</v>
      </c>
      <c r="Q2193">
        <v>4.6133086226533317E-4</v>
      </c>
      <c r="R2193">
        <v>8.0291788956487781E-4</v>
      </c>
      <c r="S2193">
        <v>7.2854798748239857E-2</v>
      </c>
      <c r="T2193">
        <v>0.8358415828056559</v>
      </c>
      <c r="U2193">
        <v>0</v>
      </c>
      <c r="V2193">
        <v>9.2382785797542735E-2</v>
      </c>
      <c r="W2193">
        <v>4.9719701437074826E-2</v>
      </c>
      <c r="X2193">
        <v>7.3952030028268311E-3</v>
      </c>
      <c r="Y2193">
        <v>2.185277813584437E-3</v>
      </c>
    </row>
    <row r="2194" spans="1:25" x14ac:dyDescent="0.25">
      <c r="A2194" s="1096"/>
      <c r="B2194" s="1455">
        <v>1944</v>
      </c>
      <c r="C2194" s="1100">
        <v>1.0271717485118241</v>
      </c>
      <c r="D2194" s="1100">
        <v>0.99597326854189361</v>
      </c>
      <c r="E2194" s="1100">
        <v>0.97700887315990137</v>
      </c>
      <c r="F2194" s="1100">
        <v>1.0085222864753174</v>
      </c>
      <c r="G2194" s="1100">
        <v>1.0083667568735892</v>
      </c>
      <c r="H2194" s="1100">
        <v>0.98720350927219302</v>
      </c>
      <c r="I2194" s="1100">
        <v>0.98178709386324692</v>
      </c>
      <c r="K2194">
        <v>1.1456837948727312</v>
      </c>
      <c r="L2194">
        <v>0</v>
      </c>
      <c r="M2194">
        <v>8.0843807789634712E-4</v>
      </c>
      <c r="N2194">
        <v>6.939569600419182E-2</v>
      </c>
      <c r="O2194">
        <v>1.0084442559471713E-2</v>
      </c>
      <c r="P2194">
        <v>1.3362482606312986E-2</v>
      </c>
      <c r="Q2194">
        <v>4.2783144621157045E-4</v>
      </c>
      <c r="R2194">
        <v>8.0662437708105196E-4</v>
      </c>
      <c r="S2194">
        <v>6.9266402435465224E-2</v>
      </c>
      <c r="T2194">
        <v>0.83623019039051594</v>
      </c>
      <c r="U2194">
        <v>0</v>
      </c>
      <c r="V2194">
        <v>9.1794939936101425E-2</v>
      </c>
      <c r="W2194">
        <v>4.6221254296331199E-2</v>
      </c>
      <c r="X2194">
        <v>6.7070032481841447E-3</v>
      </c>
      <c r="Y2194">
        <v>2.1953656507601822E-3</v>
      </c>
    </row>
    <row r="2195" spans="1:25" x14ac:dyDescent="0.25">
      <c r="A2195" s="1096"/>
      <c r="B2195" s="1455">
        <v>1945</v>
      </c>
      <c r="C2195" s="1100">
        <v>1.0218229203433891</v>
      </c>
      <c r="D2195" s="1100">
        <v>1.0085636033466849</v>
      </c>
      <c r="E2195" s="1100">
        <v>1.020222027816267</v>
      </c>
      <c r="F2195" s="1100">
        <v>0.96916853481169807</v>
      </c>
      <c r="G2195" s="1100">
        <v>0.98035293715601179</v>
      </c>
      <c r="H2195" s="1100">
        <v>0.99113559054597666</v>
      </c>
      <c r="I2195" s="1100">
        <v>0.99368387530568103</v>
      </c>
      <c r="K2195">
        <v>1.114663122118138</v>
      </c>
      <c r="L2195">
        <v>0</v>
      </c>
      <c r="M2195">
        <v>7.4222965504172449E-4</v>
      </c>
      <c r="N2195">
        <v>7.2599499014355279E-2</v>
      </c>
      <c r="O2195">
        <v>1.0100211763501014E-2</v>
      </c>
      <c r="P2195">
        <v>1.3309989238792281E-2</v>
      </c>
      <c r="Q2195">
        <v>4.4753896563302464E-4</v>
      </c>
      <c r="R2195">
        <v>7.4057109648739596E-4</v>
      </c>
      <c r="S2195">
        <v>7.0222949802887527E-2</v>
      </c>
      <c r="T2195">
        <v>0.8008249020393835</v>
      </c>
      <c r="U2195">
        <v>0</v>
      </c>
      <c r="V2195">
        <v>9.0729672302189535E-2</v>
      </c>
      <c r="W2195">
        <v>4.7127642751877467E-2</v>
      </c>
      <c r="X2195">
        <v>7.2867844026296424E-3</v>
      </c>
      <c r="Y2195">
        <v>2.0155903954423454E-3</v>
      </c>
    </row>
    <row r="2196" spans="1:25" x14ac:dyDescent="0.25">
      <c r="A2196" s="1096"/>
      <c r="B2196" s="1455">
        <v>1946</v>
      </c>
      <c r="C2196" s="1100">
        <v>0.99546408194593305</v>
      </c>
      <c r="D2196" s="1100">
        <v>1.0098034805930012</v>
      </c>
      <c r="E2196" s="1100">
        <v>0.97705328947484493</v>
      </c>
      <c r="F2196" s="1100">
        <v>0.98286097858986454</v>
      </c>
      <c r="G2196" s="1100">
        <v>0.98087726458892732</v>
      </c>
      <c r="H2196" s="1100">
        <v>0.98079162624495286</v>
      </c>
      <c r="I2196" s="1100">
        <v>0.99272458642149952</v>
      </c>
      <c r="K2196">
        <v>1.1285078597636464</v>
      </c>
      <c r="L2196">
        <v>0</v>
      </c>
      <c r="M2196">
        <v>8.2413574397423067E-4</v>
      </c>
      <c r="N2196">
        <v>7.0751641220802686E-2</v>
      </c>
      <c r="O2196">
        <v>1.0348426129332993E-2</v>
      </c>
      <c r="P2196">
        <v>1.3102338584190236E-2</v>
      </c>
      <c r="Q2196">
        <v>4.3905077534507923E-4</v>
      </c>
      <c r="R2196">
        <v>8.2227473880638338E-4</v>
      </c>
      <c r="S2196">
        <v>7.1499409076352313E-2</v>
      </c>
      <c r="T2196">
        <v>0.81494983972739365</v>
      </c>
      <c r="U2196">
        <v>0</v>
      </c>
      <c r="V2196">
        <v>9.1387490150334386E-2</v>
      </c>
      <c r="W2196">
        <v>4.7123119692538011E-2</v>
      </c>
      <c r="X2196">
        <v>6.6704446362876868E-3</v>
      </c>
      <c r="Y2196">
        <v>2.237960776236178E-3</v>
      </c>
    </row>
    <row r="2197" spans="1:25" x14ac:dyDescent="0.25">
      <c r="A2197" s="1096"/>
      <c r="B2197" s="1455">
        <v>1947</v>
      </c>
      <c r="C2197" s="1100">
        <v>1.0256289190937844</v>
      </c>
      <c r="D2197" s="1100">
        <v>0.97730690112261898</v>
      </c>
      <c r="E2197" s="1100">
        <v>1.0055122033995554</v>
      </c>
      <c r="F2197" s="1100">
        <v>0.99355306236509267</v>
      </c>
      <c r="G2197" s="1100">
        <v>0.97997163183358538</v>
      </c>
      <c r="H2197" s="1100">
        <v>0.99409016584704535</v>
      </c>
      <c r="I2197" s="1100">
        <v>1.0286345249310034</v>
      </c>
      <c r="K2197">
        <v>1.1395689503468258</v>
      </c>
      <c r="L2197">
        <v>0</v>
      </c>
      <c r="M2197">
        <v>7.7439587766797333E-4</v>
      </c>
      <c r="N2197">
        <v>7.2456732869509891E-2</v>
      </c>
      <c r="O2197">
        <v>1.0185502000805724E-2</v>
      </c>
      <c r="P2197">
        <v>1.3501438544774924E-2</v>
      </c>
      <c r="Q2197">
        <v>4.4474061551225401E-4</v>
      </c>
      <c r="R2197">
        <v>7.7267058477705549E-4</v>
      </c>
      <c r="S2197">
        <v>7.3708992069400278E-2</v>
      </c>
      <c r="T2197">
        <v>0.82193534962078263</v>
      </c>
      <c r="U2197">
        <v>0</v>
      </c>
      <c r="V2197">
        <v>9.062095579884473E-2</v>
      </c>
      <c r="W2197">
        <v>4.7443798676137808E-2</v>
      </c>
      <c r="X2197">
        <v>7.170210822974761E-3</v>
      </c>
      <c r="Y2197">
        <v>2.1029546209733285E-3</v>
      </c>
    </row>
    <row r="2198" spans="1:25" x14ac:dyDescent="0.25">
      <c r="A2198" s="1096"/>
      <c r="B2198" s="1455">
        <v>1948</v>
      </c>
      <c r="C2198" s="1100">
        <v>0.97998844621769954</v>
      </c>
      <c r="D2198" s="1100">
        <v>1.0019675774650381</v>
      </c>
      <c r="E2198" s="1100">
        <v>1.0307366743820405</v>
      </c>
      <c r="F2198" s="1100">
        <v>0.97979742331820396</v>
      </c>
      <c r="G2198" s="1100">
        <v>1.005395292098479</v>
      </c>
      <c r="H2198" s="1100">
        <v>0.96093003302770064</v>
      </c>
      <c r="I2198" s="1100">
        <v>0.99476499231426041</v>
      </c>
      <c r="K2198">
        <v>1.1305781491178908</v>
      </c>
      <c r="L2198">
        <v>0</v>
      </c>
      <c r="M2198">
        <v>7.3600788718847319E-4</v>
      </c>
      <c r="N2198">
        <v>7.4304939292791208E-2</v>
      </c>
      <c r="O2198">
        <v>1.0562576565849564E-2</v>
      </c>
      <c r="P2198">
        <v>1.3584224006466909E-2</v>
      </c>
      <c r="Q2198">
        <v>4.7292939109975075E-4</v>
      </c>
      <c r="R2198">
        <v>7.3431153400115023E-4</v>
      </c>
      <c r="S2198">
        <v>7.2313333822683928E-2</v>
      </c>
      <c r="T2198">
        <v>0.80893401369507301</v>
      </c>
      <c r="U2198">
        <v>0</v>
      </c>
      <c r="V2198">
        <v>9.2837517012313742E-2</v>
      </c>
      <c r="W2198">
        <v>4.7940176603557004E-2</v>
      </c>
      <c r="X2198">
        <v>7.631581151421955E-3</v>
      </c>
      <c r="Y2198">
        <v>1.998553929819004E-3</v>
      </c>
    </row>
    <row r="2199" spans="1:25" x14ac:dyDescent="0.25">
      <c r="A2199" s="1096"/>
      <c r="B2199" s="1455">
        <v>1949</v>
      </c>
      <c r="C2199" s="1100">
        <v>1.042384364606507</v>
      </c>
      <c r="D2199" s="1100">
        <v>0.95964398964466868</v>
      </c>
      <c r="E2199" s="1100">
        <v>1.0163638040810692</v>
      </c>
      <c r="F2199" s="1100">
        <v>1.0008801148396569</v>
      </c>
      <c r="G2199" s="1100">
        <v>1.0015038883278442</v>
      </c>
      <c r="H2199" s="1100">
        <v>1.0142172450590026</v>
      </c>
      <c r="I2199" s="1100">
        <v>0.98244751932116359</v>
      </c>
      <c r="K2199">
        <v>1.1449762958651819</v>
      </c>
      <c r="L2199">
        <v>0</v>
      </c>
      <c r="M2199">
        <v>7.6560842071676338E-4</v>
      </c>
      <c r="N2199">
        <v>7.4023324490352482E-2</v>
      </c>
      <c r="O2199">
        <v>1.0098628106595675E-2</v>
      </c>
      <c r="P2199">
        <v>1.3650044753402948E-2</v>
      </c>
      <c r="Q2199">
        <v>4.4575414857771781E-4</v>
      </c>
      <c r="R2199">
        <v>7.6393655539878642E-4</v>
      </c>
      <c r="S2199">
        <v>7.0717932507721334E-2</v>
      </c>
      <c r="T2199">
        <v>0.82728157996674667</v>
      </c>
      <c r="U2199">
        <v>0</v>
      </c>
      <c r="V2199">
        <v>9.1154536825606994E-2</v>
      </c>
      <c r="W2199">
        <v>4.8160647278702021E-2</v>
      </c>
      <c r="X2199">
        <v>7.3663361806156225E-3</v>
      </c>
      <c r="Y2199">
        <v>2.0791834721776907E-3</v>
      </c>
    </row>
    <row r="2200" spans="1:25" x14ac:dyDescent="0.25">
      <c r="A2200" s="1096"/>
      <c r="B2200" s="1455">
        <v>1950</v>
      </c>
      <c r="C2200" s="1100">
        <v>0.98749002539212172</v>
      </c>
      <c r="D2200" s="1100">
        <v>1.0388420521754604</v>
      </c>
      <c r="E2200" s="1100">
        <v>1.0177156034570651</v>
      </c>
      <c r="F2200" s="1100">
        <v>1.0001160189196656</v>
      </c>
      <c r="G2200" s="1100">
        <v>1.0002234179302718</v>
      </c>
      <c r="H2200" s="1100">
        <v>1.0137411945868144</v>
      </c>
      <c r="I2200" s="1100">
        <v>0.99522386717645961</v>
      </c>
      <c r="K2200">
        <v>1.1506444390016906</v>
      </c>
      <c r="L2200">
        <v>0</v>
      </c>
      <c r="M2200">
        <v>7.8037124804552691E-4</v>
      </c>
      <c r="N2200">
        <v>7.5758989471310587E-2</v>
      </c>
      <c r="O2200">
        <v>1.0327623703634414E-2</v>
      </c>
      <c r="P2200">
        <v>1.3697095863842294E-2</v>
      </c>
      <c r="Q2200">
        <v>4.5647606817876194E-4</v>
      </c>
      <c r="R2200">
        <v>7.7866634477901698E-4</v>
      </c>
      <c r="S2200">
        <v>7.2590695181303774E-2</v>
      </c>
      <c r="T2200">
        <v>0.82656125387895774</v>
      </c>
      <c r="U2200">
        <v>0</v>
      </c>
      <c r="V2200">
        <v>9.2422039497600791E-2</v>
      </c>
      <c r="W2200">
        <v>4.9250838555648588E-2</v>
      </c>
      <c r="X2200">
        <v>7.4618585812822429E-3</v>
      </c>
      <c r="Y2200">
        <v>2.1192731031969142E-3</v>
      </c>
    </row>
    <row r="2201" spans="1:25" x14ac:dyDescent="0.25">
      <c r="A2201" s="1096"/>
      <c r="B2201" s="1455">
        <v>1951</v>
      </c>
      <c r="C2201" s="1100">
        <v>0.98947923609190136</v>
      </c>
      <c r="D2201" s="1100">
        <v>0.99598696279100918</v>
      </c>
      <c r="E2201" s="1100">
        <v>0.99716426396096358</v>
      </c>
      <c r="F2201" s="1100">
        <v>1.0072925174056486</v>
      </c>
      <c r="G2201" s="1100">
        <v>0.99015394041672522</v>
      </c>
      <c r="H2201" s="1100">
        <v>1.0261671081704717</v>
      </c>
      <c r="I2201" s="1100">
        <v>1.0414012228398428</v>
      </c>
      <c r="K2201">
        <v>1.1643856681074638</v>
      </c>
      <c r="L2201">
        <v>0</v>
      </c>
      <c r="M2201">
        <v>8.367037628721287E-4</v>
      </c>
      <c r="N2201">
        <v>7.6342348771932689E-2</v>
      </c>
      <c r="O2201">
        <v>1.0475198465206323E-2</v>
      </c>
      <c r="P2201">
        <v>1.3655701904358891E-2</v>
      </c>
      <c r="Q2201">
        <v>4.5357077739690638E-4</v>
      </c>
      <c r="R2201">
        <v>8.3489792311588942E-4</v>
      </c>
      <c r="S2201">
        <v>7.7966234657304692E-2</v>
      </c>
      <c r="T2201">
        <v>0.8338579098360005</v>
      </c>
      <c r="U2201">
        <v>0</v>
      </c>
      <c r="V2201">
        <v>9.1937775117200096E-2</v>
      </c>
      <c r="W2201">
        <v>5.0236425635855585E-2</v>
      </c>
      <c r="X2201">
        <v>7.1899918592700932E-3</v>
      </c>
      <c r="Y2201">
        <v>2.2723169226950639E-3</v>
      </c>
    </row>
    <row r="2202" spans="1:25" x14ac:dyDescent="0.25">
      <c r="A2202" s="1096"/>
      <c r="B2202" s="1455">
        <v>1952</v>
      </c>
      <c r="C2202" s="1100">
        <v>1.0217763732702547</v>
      </c>
      <c r="D2202" s="1100">
        <v>0.98968013337906791</v>
      </c>
      <c r="E2202" s="1100">
        <v>0.9945001791976722</v>
      </c>
      <c r="F2202" s="1100">
        <v>0.97611392370732597</v>
      </c>
      <c r="G2202" s="1100">
        <v>0.97231387084008913</v>
      </c>
      <c r="H2202" s="1100">
        <v>1.0033479243949206</v>
      </c>
      <c r="I2202" s="1100">
        <v>0.95762673189506542</v>
      </c>
      <c r="K2202">
        <v>1.1201034651675212</v>
      </c>
      <c r="L2202">
        <v>0</v>
      </c>
      <c r="M2202">
        <v>7.9865267093146561E-4</v>
      </c>
      <c r="N2202">
        <v>7.2282600866536664E-2</v>
      </c>
      <c r="O2202">
        <v>1.0169041928091876E-2</v>
      </c>
      <c r="P2202">
        <v>1.3134419406602149E-2</v>
      </c>
      <c r="Q2202">
        <v>4.3913410449625273E-4</v>
      </c>
      <c r="R2202">
        <v>7.9688975350944696E-4</v>
      </c>
      <c r="S2202">
        <v>6.8777664973707686E-2</v>
      </c>
      <c r="T2202">
        <v>0.80822012804196319</v>
      </c>
      <c r="U2202">
        <v>0</v>
      </c>
      <c r="V2202">
        <v>9.0382956528845634E-2</v>
      </c>
      <c r="W2202">
        <v>4.7640565525735784E-2</v>
      </c>
      <c r="X2202">
        <v>6.8898454945478943E-3</v>
      </c>
      <c r="Y2202">
        <v>2.1688712144160706E-3</v>
      </c>
    </row>
    <row r="2203" spans="1:25" x14ac:dyDescent="0.25">
      <c r="A2203" s="1096"/>
      <c r="B2203" s="1455">
        <v>1953</v>
      </c>
      <c r="C2203" s="1100">
        <v>1.0065861402514145</v>
      </c>
      <c r="D2203" s="1100">
        <v>1.0033370353743085</v>
      </c>
      <c r="E2203" s="1100">
        <v>0.96940684486108275</v>
      </c>
      <c r="F2203" s="1100">
        <v>0.99430550062785361</v>
      </c>
      <c r="G2203" s="1100">
        <v>1.0201482620283175</v>
      </c>
      <c r="H2203" s="1100">
        <v>0.97348747200095587</v>
      </c>
      <c r="I2203" s="1100">
        <v>0.98905234129059449</v>
      </c>
      <c r="K2203">
        <v>1.1361430984589871</v>
      </c>
      <c r="L2203">
        <v>0</v>
      </c>
      <c r="M2203">
        <v>8.2395270813120642E-4</v>
      </c>
      <c r="N2203">
        <v>6.9116228842914934E-2</v>
      </c>
      <c r="O2203">
        <v>1.0257943564628036E-2</v>
      </c>
      <c r="P2203">
        <v>1.316287289707267E-2</v>
      </c>
      <c r="Q2203">
        <v>4.3182992342198997E-4</v>
      </c>
      <c r="R2203">
        <v>8.2207815611275137E-4</v>
      </c>
      <c r="S2203">
        <v>7.0380879396744325E-2</v>
      </c>
      <c r="T2203">
        <v>0.82494912279651655</v>
      </c>
      <c r="U2203">
        <v>0</v>
      </c>
      <c r="V2203">
        <v>9.2791206876603E-2</v>
      </c>
      <c r="W2203">
        <v>4.6248061245101092E-2</v>
      </c>
      <c r="X2203">
        <v>6.5694017250556075E-3</v>
      </c>
      <c r="Y2203">
        <v>2.2374257429475792E-3</v>
      </c>
    </row>
    <row r="2204" spans="1:25" x14ac:dyDescent="0.25">
      <c r="A2204" s="1096"/>
      <c r="B2204" s="1455">
        <v>1954</v>
      </c>
      <c r="C2204" s="1100">
        <v>1.0105318200418993</v>
      </c>
      <c r="D2204" s="1100">
        <v>1.0400766464703886</v>
      </c>
      <c r="E2204" s="1100">
        <v>1.0195842116878269</v>
      </c>
      <c r="F2204" s="1100">
        <v>0.98901166118398209</v>
      </c>
      <c r="G2204" s="1100">
        <v>1.0330935402113886</v>
      </c>
      <c r="H2204" s="1100">
        <v>0.98296318461366172</v>
      </c>
      <c r="I2204" s="1100">
        <v>0.98163589747142976</v>
      </c>
      <c r="K2204">
        <v>1.1312164187675176</v>
      </c>
      <c r="L2204">
        <v>0</v>
      </c>
      <c r="M2204">
        <v>7.3620649334588594E-4</v>
      </c>
      <c r="N2204">
        <v>7.187059222512962E-2</v>
      </c>
      <c r="O2204">
        <v>1.008794076314215E-2</v>
      </c>
      <c r="P2204">
        <v>1.3545362659161876E-2</v>
      </c>
      <c r="Q2204">
        <v>4.4671188284786624E-4</v>
      </c>
      <c r="R2204">
        <v>7.3454771648251102E-4</v>
      </c>
      <c r="S2204">
        <v>6.8728872706300195E-2</v>
      </c>
      <c r="T2204">
        <v>0.81726265225783712</v>
      </c>
      <c r="U2204">
        <v>0</v>
      </c>
      <c r="V2204">
        <v>9.3254817307348928E-2</v>
      </c>
      <c r="W2204">
        <v>4.6671890129292876E-2</v>
      </c>
      <c r="X2204">
        <v>7.3500408726443764E-3</v>
      </c>
      <c r="Y2204">
        <v>1.9991967406757347E-3</v>
      </c>
    </row>
    <row r="2205" spans="1:25" x14ac:dyDescent="0.25">
      <c r="A2205" s="1096"/>
      <c r="B2205" s="1455">
        <v>1955</v>
      </c>
      <c r="C2205" s="1100">
        <v>1.0349976925617141</v>
      </c>
      <c r="D2205" s="1100">
        <v>0.98043203656668931</v>
      </c>
      <c r="E2205" s="1100">
        <v>1.0118752214598059</v>
      </c>
      <c r="F2205" s="1100">
        <v>0.9899722688341025</v>
      </c>
      <c r="G2205" s="1100">
        <v>1.0066572961403468</v>
      </c>
      <c r="H2205" s="1100">
        <v>1.0089808501698436</v>
      </c>
      <c r="I2205" s="1100">
        <v>0.99271271633942626</v>
      </c>
      <c r="K2205">
        <v>1.1354025239787644</v>
      </c>
      <c r="L2205">
        <v>0</v>
      </c>
      <c r="M2205">
        <v>7.6767353161429064E-4</v>
      </c>
      <c r="N2205">
        <v>7.3223446011690049E-2</v>
      </c>
      <c r="O2205">
        <v>1.0082452661292127E-2</v>
      </c>
      <c r="P2205">
        <v>1.34937752452822E-2</v>
      </c>
      <c r="Q2205">
        <v>4.4305227032385877E-4</v>
      </c>
      <c r="R2205">
        <v>7.6598845666948998E-4</v>
      </c>
      <c r="S2205">
        <v>7.0968391521356283E-2</v>
      </c>
      <c r="T2205">
        <v>0.81855780766325281</v>
      </c>
      <c r="U2205">
        <v>0</v>
      </c>
      <c r="V2205">
        <v>9.1543892918353659E-2</v>
      </c>
      <c r="W2205">
        <v>4.7766086989590971E-2</v>
      </c>
      <c r="X2205">
        <v>7.2405357015391898E-3</v>
      </c>
      <c r="Y2205">
        <v>2.0847680710274737E-3</v>
      </c>
    </row>
    <row r="2206" spans="1:25" x14ac:dyDescent="0.25">
      <c r="A2206" s="1096"/>
      <c r="B2206" s="1455">
        <v>1956</v>
      </c>
      <c r="C2206" s="1100">
        <v>0.97416040714200636</v>
      </c>
      <c r="D2206" s="1100">
        <v>0.98446750889779988</v>
      </c>
      <c r="E2206" s="1100">
        <v>1.0217296517024892</v>
      </c>
      <c r="F2206" s="1100">
        <v>0.99304810658835407</v>
      </c>
      <c r="G2206" s="1100">
        <v>0.98169481969731276</v>
      </c>
      <c r="H2206" s="1100">
        <v>1.0028909894970406</v>
      </c>
      <c r="I2206" s="1100">
        <v>1.0110017550311099</v>
      </c>
      <c r="K2206">
        <v>1.1518992667240606</v>
      </c>
      <c r="L2206">
        <v>0</v>
      </c>
      <c r="M2206">
        <v>7.9294372602684102E-4</v>
      </c>
      <c r="N2206">
        <v>7.7915559833597506E-2</v>
      </c>
      <c r="O2206">
        <v>1.0697866299899021E-2</v>
      </c>
      <c r="P2206">
        <v>1.3699327458015406E-2</v>
      </c>
      <c r="Q2206">
        <v>4.7473156527072692E-4</v>
      </c>
      <c r="R2206">
        <v>7.911926128513618E-4</v>
      </c>
      <c r="S2206">
        <v>7.6381219656882701E-2</v>
      </c>
      <c r="T2206">
        <v>0.82045851507446055</v>
      </c>
      <c r="U2206">
        <v>0</v>
      </c>
      <c r="V2206">
        <v>9.1974346431133225E-2</v>
      </c>
      <c r="W2206">
        <v>5.0533981607120901E-2</v>
      </c>
      <c r="X2206">
        <v>7.6121044352490883E-3</v>
      </c>
      <c r="Y2206">
        <v>2.1533654756066755E-3</v>
      </c>
    </row>
    <row r="2207" spans="1:25" x14ac:dyDescent="0.25">
      <c r="A2207" s="1096"/>
      <c r="B2207" s="1455">
        <v>1957</v>
      </c>
      <c r="C2207" s="1100">
        <v>1.0258476999870918</v>
      </c>
      <c r="D2207" s="1100">
        <v>1.0239666063001998</v>
      </c>
      <c r="E2207" s="1100">
        <v>1.0122874487114846</v>
      </c>
      <c r="F2207" s="1100">
        <v>0.97805960512720069</v>
      </c>
      <c r="G2207" s="1100">
        <v>0.98732901552543817</v>
      </c>
      <c r="H2207" s="1100">
        <v>1.0373887401603143</v>
      </c>
      <c r="I2207" s="1100">
        <v>1.0217231900520938</v>
      </c>
      <c r="K2207">
        <v>1.1293591023610678</v>
      </c>
      <c r="L2207">
        <v>0</v>
      </c>
      <c r="M2207">
        <v>7.8193795796553623E-4</v>
      </c>
      <c r="N2207">
        <v>7.4681401039200415E-2</v>
      </c>
      <c r="O2207">
        <v>9.9972610910916415E-3</v>
      </c>
      <c r="P2207">
        <v>1.3384482798889812E-2</v>
      </c>
      <c r="Q2207">
        <v>4.3948956419074587E-4</v>
      </c>
      <c r="R2207">
        <v>7.8026857359232054E-4</v>
      </c>
      <c r="S2207">
        <v>7.3211352869134882E-2</v>
      </c>
      <c r="T2207">
        <v>0.80868129605527006</v>
      </c>
      <c r="U2207">
        <v>0</v>
      </c>
      <c r="V2207">
        <v>9.0931374232864057E-2</v>
      </c>
      <c r="W2207">
        <v>4.8705338140107947E-2</v>
      </c>
      <c r="X2207">
        <v>7.2051421128377429E-3</v>
      </c>
      <c r="Y2207">
        <v>2.1236338418521403E-3</v>
      </c>
    </row>
    <row r="2208" spans="1:25" x14ac:dyDescent="0.25">
      <c r="A2208" s="1096"/>
      <c r="B2208" s="1455">
        <v>1958</v>
      </c>
      <c r="C2208" s="1100">
        <v>1.023475021435629</v>
      </c>
      <c r="D2208" s="1100">
        <v>1.0084026442545697</v>
      </c>
      <c r="E2208" s="1100">
        <v>1.0001011209791744</v>
      </c>
      <c r="F2208" s="1100">
        <v>0.9704226581976273</v>
      </c>
      <c r="G2208" s="1100">
        <v>1.0168167798169936</v>
      </c>
      <c r="H2208" s="1100">
        <v>0.99766976309249</v>
      </c>
      <c r="I2208" s="1100">
        <v>1.019035002718057</v>
      </c>
      <c r="K2208">
        <v>1.1189481791968849</v>
      </c>
      <c r="L2208">
        <v>0</v>
      </c>
      <c r="M2208">
        <v>7.7780837664564485E-4</v>
      </c>
      <c r="N2208">
        <v>7.1596766302440079E-2</v>
      </c>
      <c r="O2208">
        <v>1.0078128661230177E-2</v>
      </c>
      <c r="P2208">
        <v>1.31918317063647E-2</v>
      </c>
      <c r="Q2208">
        <v>4.376689551660791E-4</v>
      </c>
      <c r="R2208">
        <v>7.7608169853330474E-4</v>
      </c>
      <c r="S2208">
        <v>7.214458167075892E-2</v>
      </c>
      <c r="T2208">
        <v>0.80314745645892283</v>
      </c>
      <c r="U2208">
        <v>0</v>
      </c>
      <c r="V2208">
        <v>9.2246219440922039E-2</v>
      </c>
      <c r="W2208">
        <v>4.7031381781530192E-2</v>
      </c>
      <c r="X2208">
        <v>6.9636323495162128E-3</v>
      </c>
      <c r="Y2208">
        <v>2.1122385481444914E-3</v>
      </c>
    </row>
    <row r="2209" spans="1:25" x14ac:dyDescent="0.25">
      <c r="A2209" s="1096"/>
      <c r="B2209" s="1455">
        <v>1959</v>
      </c>
      <c r="C2209" s="1100">
        <v>1.037783924889812</v>
      </c>
      <c r="D2209" s="1100">
        <v>0.98117973933417446</v>
      </c>
      <c r="E2209" s="1100">
        <v>0.97434786057036016</v>
      </c>
      <c r="F2209" s="1100">
        <v>1.0076389709234883</v>
      </c>
      <c r="G2209" s="1100">
        <v>0.99350633785260456</v>
      </c>
      <c r="H2209" s="1100">
        <v>0.98738351201220842</v>
      </c>
      <c r="I2209" s="1100">
        <v>1.004724984934134</v>
      </c>
      <c r="K2209">
        <v>1.1448696133471414</v>
      </c>
      <c r="L2209">
        <v>0</v>
      </c>
      <c r="M2209">
        <v>8.0956126721327081E-4</v>
      </c>
      <c r="N2209">
        <v>6.8934704616600978E-2</v>
      </c>
      <c r="O2209">
        <v>1.00404050816775E-2</v>
      </c>
      <c r="P2209">
        <v>1.3335434820222586E-2</v>
      </c>
      <c r="Q2209">
        <v>4.2480986907874084E-4</v>
      </c>
      <c r="R2209">
        <v>8.0774537766647861E-4</v>
      </c>
      <c r="S2209">
        <v>7.0706196423412734E-2</v>
      </c>
      <c r="T2209">
        <v>0.83567740484285802</v>
      </c>
      <c r="U2209">
        <v>0</v>
      </c>
      <c r="V2209">
        <v>9.0912436889214562E-2</v>
      </c>
      <c r="W2209">
        <v>4.5988296400543804E-2</v>
      </c>
      <c r="X2209">
        <v>6.6533236482629026E-3</v>
      </c>
      <c r="Y2209">
        <v>2.1984166448159696E-3</v>
      </c>
    </row>
    <row r="2210" spans="1:25" x14ac:dyDescent="0.25">
      <c r="A2210" s="1096"/>
      <c r="B2210" s="1455">
        <v>1960</v>
      </c>
      <c r="C2210" s="1100">
        <v>0.97367074758561134</v>
      </c>
      <c r="D2210" s="1100">
        <v>1.0309136429347747</v>
      </c>
      <c r="E2210" s="1100">
        <v>1.0334061975442177</v>
      </c>
      <c r="F2210" s="1100">
        <v>1.0022399202612617</v>
      </c>
      <c r="G2210" s="1100">
        <v>1.0181757662992978</v>
      </c>
      <c r="H2210" s="1100">
        <v>0.97309554526509823</v>
      </c>
      <c r="I2210" s="1100">
        <v>0.99749566356344099</v>
      </c>
      <c r="K2210">
        <v>1.1513122150434159</v>
      </c>
      <c r="L2210">
        <v>0</v>
      </c>
      <c r="M2210">
        <v>7.3754917094618786E-4</v>
      </c>
      <c r="N2210">
        <v>7.5064255132528998E-2</v>
      </c>
      <c r="O2210">
        <v>1.0511581461604691E-2</v>
      </c>
      <c r="P2210">
        <v>1.3878462878201842E-2</v>
      </c>
      <c r="Q2210">
        <v>4.7188855603040104E-4</v>
      </c>
      <c r="R2210">
        <v>7.3587051739845537E-4</v>
      </c>
      <c r="S2210">
        <v>7.2423127469763884E-2</v>
      </c>
      <c r="T2210">
        <v>0.82728849301052554</v>
      </c>
      <c r="U2210">
        <v>0</v>
      </c>
      <c r="V2210">
        <v>9.3548308735598357E-2</v>
      </c>
      <c r="W2210">
        <v>4.8355206032895497E-2</v>
      </c>
      <c r="X2210">
        <v>7.7697734511058183E-3</v>
      </c>
      <c r="Y2210">
        <v>2.0027969687077302E-3</v>
      </c>
    </row>
    <row r="2211" spans="1:25" x14ac:dyDescent="0.25">
      <c r="A2211" s="1096"/>
      <c r="B2211" s="1455">
        <v>1961</v>
      </c>
      <c r="C2211" s="1100">
        <v>1.0187091293718957</v>
      </c>
      <c r="D2211" s="1100">
        <v>1.0126565160244827</v>
      </c>
      <c r="E2211" s="1100">
        <v>1.0075119570997655</v>
      </c>
      <c r="F2211" s="1100">
        <v>1.04488351350926</v>
      </c>
      <c r="G2211" s="1100">
        <v>1.0084260472827309</v>
      </c>
      <c r="H2211" s="1100">
        <v>1.010768722214872</v>
      </c>
      <c r="I2211" s="1100">
        <v>0.983953627874116</v>
      </c>
      <c r="K2211">
        <v>1.1819319560629848</v>
      </c>
      <c r="L2211">
        <v>0</v>
      </c>
      <c r="M2211">
        <v>7.783112711801898E-4</v>
      </c>
      <c r="N2211">
        <v>7.3266872374309636E-2</v>
      </c>
      <c r="O2211">
        <v>1.0110613479644408E-2</v>
      </c>
      <c r="P2211">
        <v>1.4074615390495163E-2</v>
      </c>
      <c r="Q2211">
        <v>4.4235577815038095E-4</v>
      </c>
      <c r="R2211">
        <v>7.7660586786359954E-4</v>
      </c>
      <c r="S2211">
        <v>7.0356353589314372E-2</v>
      </c>
      <c r="T2211">
        <v>0.86426153050567078</v>
      </c>
      <c r="U2211">
        <v>0</v>
      </c>
      <c r="V2211">
        <v>9.2001807662206725E-2</v>
      </c>
      <c r="W2211">
        <v>4.7917574488212177E-2</v>
      </c>
      <c r="X2211">
        <v>7.38827303402728E-3</v>
      </c>
      <c r="Y2211">
        <v>2.1136651642691805E-3</v>
      </c>
    </row>
    <row r="2212" spans="1:25" x14ac:dyDescent="0.25">
      <c r="A2212" s="1096"/>
      <c r="B2212" s="1455">
        <v>1962</v>
      </c>
      <c r="C2212" s="1100">
        <v>0.99892278484611186</v>
      </c>
      <c r="D2212" s="1100">
        <v>1.0007345562073364</v>
      </c>
      <c r="E2212" s="1100">
        <v>0.97951353971154242</v>
      </c>
      <c r="F2212" s="1100">
        <v>1.0102903401369592</v>
      </c>
      <c r="G2212" s="1100">
        <v>0.98554635632597276</v>
      </c>
      <c r="H2212" s="1100">
        <v>1.003396596147456</v>
      </c>
      <c r="I2212" s="1100">
        <v>0.9988252541066569</v>
      </c>
      <c r="K2212">
        <v>1.1561497921883515</v>
      </c>
      <c r="L2212">
        <v>0</v>
      </c>
      <c r="M2212">
        <v>8.3897055726810414E-4</v>
      </c>
      <c r="N2212">
        <v>7.2567118047678125E-2</v>
      </c>
      <c r="O2212">
        <v>1.0350679511746504E-2</v>
      </c>
      <c r="P2212">
        <v>1.3450897036937833E-2</v>
      </c>
      <c r="Q2212">
        <v>4.4024693214870245E-4</v>
      </c>
      <c r="R2212">
        <v>8.3711873341248155E-4</v>
      </c>
      <c r="S2212">
        <v>7.2945025971628039E-2</v>
      </c>
      <c r="T2212">
        <v>0.83752688908543982</v>
      </c>
      <c r="U2212">
        <v>0</v>
      </c>
      <c r="V2212">
        <v>9.1501360088701023E-2</v>
      </c>
      <c r="W2212">
        <v>4.8260447398031911E-2</v>
      </c>
      <c r="X2212">
        <v>6.8306187036615172E-3</v>
      </c>
      <c r="Y2212">
        <v>2.2783612362324698E-3</v>
      </c>
    </row>
    <row r="2213" spans="1:25" x14ac:dyDescent="0.25">
      <c r="A2213" s="1096"/>
      <c r="B2213" s="1455">
        <v>1963</v>
      </c>
      <c r="C2213" s="1100">
        <v>1.0448792281258639</v>
      </c>
      <c r="D2213" s="1100">
        <v>0.97171150815425011</v>
      </c>
      <c r="E2213" s="1100">
        <v>1.0103572769460725</v>
      </c>
      <c r="F2213" s="1100">
        <v>0.99638758304274155</v>
      </c>
      <c r="G2213" s="1100">
        <v>1.0059164641707541</v>
      </c>
      <c r="H2213" s="1100">
        <v>0.98355055839824668</v>
      </c>
      <c r="I2213" s="1100">
        <v>0.97064471975348499</v>
      </c>
      <c r="K2213">
        <v>1.1336242867631505</v>
      </c>
      <c r="L2213">
        <v>0</v>
      </c>
      <c r="M2213">
        <v>7.4625194349840687E-4</v>
      </c>
      <c r="N2213">
        <v>7.0850725722531857E-2</v>
      </c>
      <c r="O2213">
        <v>1.002237525698651E-2</v>
      </c>
      <c r="P2213">
        <v>1.350954728833915E-2</v>
      </c>
      <c r="Q2213">
        <v>4.3974493231211455E-4</v>
      </c>
      <c r="R2213">
        <v>7.4457153695576238E-4</v>
      </c>
      <c r="S2213">
        <v>6.8076501963858269E-2</v>
      </c>
      <c r="T2213">
        <v>0.82396189266587228</v>
      </c>
      <c r="U2213">
        <v>0</v>
      </c>
      <c r="V2213">
        <v>9.128552468204218E-2</v>
      </c>
      <c r="W2213">
        <v>4.6259634611032316E-2</v>
      </c>
      <c r="X2213">
        <v>7.1935417710648078E-3</v>
      </c>
      <c r="Y2213">
        <v>2.0264782756523928E-3</v>
      </c>
    </row>
    <row r="2214" spans="1:25" x14ac:dyDescent="0.25">
      <c r="A2214" s="1096"/>
      <c r="B2214" s="1455">
        <v>1964</v>
      </c>
      <c r="C2214" s="1100">
        <v>0.98100738223219808</v>
      </c>
      <c r="D2214" s="1100">
        <v>0.97939275837513873</v>
      </c>
      <c r="E2214" s="1100">
        <v>1.0271783085164787</v>
      </c>
      <c r="F2214" s="1100">
        <v>1.0145385159439329</v>
      </c>
      <c r="G2214" s="1100">
        <v>1.0010148895956543</v>
      </c>
      <c r="H2214" s="1100">
        <v>0.9743697841324418</v>
      </c>
      <c r="I2214" s="1100">
        <v>0.98387906143552939</v>
      </c>
      <c r="K2214">
        <v>1.1628474849150745</v>
      </c>
      <c r="L2214">
        <v>0</v>
      </c>
      <c r="M2214">
        <v>7.5795187308606393E-4</v>
      </c>
      <c r="N2214">
        <v>7.5706239017938964E-2</v>
      </c>
      <c r="O2214">
        <v>1.0647023683191559E-2</v>
      </c>
      <c r="P2214">
        <v>1.3955637734004643E-2</v>
      </c>
      <c r="Q2214">
        <v>4.7503528809740195E-4</v>
      </c>
      <c r="R2214">
        <v>7.5622903921795037E-4</v>
      </c>
      <c r="S2214">
        <v>7.2842034674995934E-2</v>
      </c>
      <c r="T2214">
        <v>0.83785234761320881</v>
      </c>
      <c r="U2214">
        <v>0</v>
      </c>
      <c r="V2214">
        <v>9.262340827387229E-2</v>
      </c>
      <c r="W2214">
        <v>4.8945346421613981E-2</v>
      </c>
      <c r="X2214">
        <v>7.7439288881024594E-3</v>
      </c>
      <c r="Y2214">
        <v>2.058206153915481E-3</v>
      </c>
    </row>
    <row r="2215" spans="1:25" x14ac:dyDescent="0.25">
      <c r="A2215" s="1096"/>
      <c r="B2215" s="1455">
        <v>1965</v>
      </c>
      <c r="C2215" s="1100">
        <v>0.97777949490274219</v>
      </c>
      <c r="D2215" s="1100">
        <v>0.98172198736945815</v>
      </c>
      <c r="E2215" s="1100">
        <v>0.99078748259438332</v>
      </c>
      <c r="F2215" s="1100">
        <v>0.98215490763660174</v>
      </c>
      <c r="G2215" s="1100">
        <v>0.9892472196539932</v>
      </c>
      <c r="H2215" s="1100">
        <v>0.96085035798129337</v>
      </c>
      <c r="I2215" s="1100">
        <v>0.99132021749206489</v>
      </c>
      <c r="K2215">
        <v>1.1322036641063138</v>
      </c>
      <c r="L2215">
        <v>0</v>
      </c>
      <c r="M2215">
        <v>8.0801680867705462E-4</v>
      </c>
      <c r="N2215">
        <v>7.2306887851672191E-2</v>
      </c>
      <c r="O2215">
        <v>1.0659738651148149E-2</v>
      </c>
      <c r="P2215">
        <v>1.324980786945505E-2</v>
      </c>
      <c r="Q2215">
        <v>4.5860238853524538E-4</v>
      </c>
      <c r="R2215">
        <v>8.0615433468524404E-4</v>
      </c>
      <c r="S2215">
        <v>7.2940237340848632E-2</v>
      </c>
      <c r="T2215">
        <v>0.81346432957301729</v>
      </c>
      <c r="U2215">
        <v>0</v>
      </c>
      <c r="V2215">
        <v>9.2197666098759706E-2</v>
      </c>
      <c r="W2215">
        <v>4.7762463365153364E-2</v>
      </c>
      <c r="X2215">
        <v>6.9717070914063796E-3</v>
      </c>
      <c r="Y2215">
        <v>2.1940863503082265E-3</v>
      </c>
    </row>
    <row r="2216" spans="1:25" x14ac:dyDescent="0.25">
      <c r="A2216" s="1096"/>
      <c r="B2216" s="1455">
        <v>1966</v>
      </c>
      <c r="C2216" s="1100">
        <v>1.0194635247773873</v>
      </c>
      <c r="D2216" s="1100">
        <v>1.0000739648788946</v>
      </c>
      <c r="E2216" s="1100">
        <v>0.97937652466210123</v>
      </c>
      <c r="F2216" s="1100">
        <v>1.0061925100926861</v>
      </c>
      <c r="G2216" s="1100">
        <v>0.99165214091861498</v>
      </c>
      <c r="H2216" s="1100">
        <v>0.97626437636551555</v>
      </c>
      <c r="I2216" s="1100">
        <v>0.96251390375528978</v>
      </c>
      <c r="K2216">
        <v>1.1412820181122114</v>
      </c>
      <c r="L2216">
        <v>0</v>
      </c>
      <c r="M2216">
        <v>8.002754767993033E-4</v>
      </c>
      <c r="N2216">
        <v>6.9187225408797862E-2</v>
      </c>
      <c r="O2216">
        <v>1.014476339199993E-2</v>
      </c>
      <c r="P2216">
        <v>1.333247071160816E-2</v>
      </c>
      <c r="Q2216">
        <v>4.3142856810785831E-4</v>
      </c>
      <c r="R2216">
        <v>7.9845997098382325E-4</v>
      </c>
      <c r="S2216">
        <v>6.7858264465612037E-2</v>
      </c>
      <c r="T2216">
        <v>0.83413902233813086</v>
      </c>
      <c r="U2216">
        <v>0</v>
      </c>
      <c r="V2216">
        <v>9.1262752372048866E-2</v>
      </c>
      <c r="W2216">
        <v>4.6016473038072436E-2</v>
      </c>
      <c r="X2216">
        <v>6.7382884948895497E-3</v>
      </c>
      <c r="Y2216">
        <v>2.1731448287592718E-3</v>
      </c>
    </row>
    <row r="2217" spans="1:25" x14ac:dyDescent="0.25">
      <c r="A2217" s="1096"/>
      <c r="B2217" s="1455">
        <v>1967</v>
      </c>
      <c r="C2217" s="1100">
        <v>1.0392337052535661</v>
      </c>
      <c r="D2217" s="1100">
        <v>1.0015693236581735</v>
      </c>
      <c r="E2217" s="1100">
        <v>0.95087973490585187</v>
      </c>
      <c r="F2217" s="1100">
        <v>0.95565367628966713</v>
      </c>
      <c r="G2217" s="1100">
        <v>1.0438758170142652</v>
      </c>
      <c r="H2217" s="1100">
        <v>1.0172152862692827</v>
      </c>
      <c r="I2217" s="1100">
        <v>0.99145634806147331</v>
      </c>
      <c r="K2217">
        <v>1.1038088318769188</v>
      </c>
      <c r="L2217">
        <v>0</v>
      </c>
      <c r="M2217">
        <v>8.6698831281793276E-4</v>
      </c>
      <c r="N2217">
        <v>6.8762682946934578E-2</v>
      </c>
      <c r="O2217">
        <v>9.9369075382598638E-3</v>
      </c>
      <c r="P2217">
        <v>1.2569117704861233E-2</v>
      </c>
      <c r="Q2217">
        <v>4.1042552490592256E-4</v>
      </c>
      <c r="R2217">
        <v>8.6510064338612904E-4</v>
      </c>
      <c r="S2217">
        <v>7.0072142139278357E-2</v>
      </c>
      <c r="T2217">
        <v>0.79407572552912864</v>
      </c>
      <c r="U2217">
        <v>0</v>
      </c>
      <c r="V2217">
        <v>9.3031683268171919E-2</v>
      </c>
      <c r="W2217">
        <v>4.6537396954487865E-2</v>
      </c>
      <c r="X2217">
        <v>6.0601191693744312E-3</v>
      </c>
      <c r="Y2217">
        <v>2.3545187709465946E-3</v>
      </c>
    </row>
    <row r="2218" spans="1:25" x14ac:dyDescent="0.25">
      <c r="A2218" s="1096"/>
      <c r="B2218" s="1455">
        <v>1968</v>
      </c>
      <c r="C2218" s="1100">
        <v>1.0218473242185959</v>
      </c>
      <c r="D2218" s="1100">
        <v>0.95757209415290523</v>
      </c>
      <c r="E2218" s="1100">
        <v>1.0223510913713394</v>
      </c>
      <c r="F2218" s="1100">
        <v>0.96033325021664273</v>
      </c>
      <c r="G2218" s="1100">
        <v>1.0375702353991643</v>
      </c>
      <c r="H2218" s="1100">
        <v>1.008941120205558</v>
      </c>
      <c r="I2218" s="1100">
        <v>1.0154875442816851</v>
      </c>
      <c r="K2218">
        <v>1.1191919363957354</v>
      </c>
      <c r="L2218">
        <v>0</v>
      </c>
      <c r="M2218">
        <v>7.6797868600212652E-4</v>
      </c>
      <c r="N2218">
        <v>7.5605054457732024E-2</v>
      </c>
      <c r="O2218">
        <v>1.0312456955682048E-2</v>
      </c>
      <c r="P2218">
        <v>1.3320136879616178E-2</v>
      </c>
      <c r="Q2218">
        <v>4.5791102335581503E-4</v>
      </c>
      <c r="R2218">
        <v>7.6629287484984753E-4</v>
      </c>
      <c r="S2218">
        <v>7.4438199414319506E-2</v>
      </c>
      <c r="T2218">
        <v>0.79339034524412222</v>
      </c>
      <c r="U2218">
        <v>0</v>
      </c>
      <c r="V2218">
        <v>9.3174863190532017E-2</v>
      </c>
      <c r="W2218">
        <v>4.901765235626232E-2</v>
      </c>
      <c r="X2218">
        <v>7.391406088301457E-3</v>
      </c>
      <c r="Y2218">
        <v>2.0855965969629802E-3</v>
      </c>
    </row>
    <row r="2219" spans="1:25" x14ac:dyDescent="0.25">
      <c r="A2219" s="1096"/>
      <c r="B2219" s="1455">
        <v>1969</v>
      </c>
      <c r="C2219" s="1100">
        <v>0.99685116920268579</v>
      </c>
      <c r="D2219" s="1100">
        <v>0.9890127980776231</v>
      </c>
      <c r="E2219" s="1100">
        <v>1.0221615579496282</v>
      </c>
      <c r="F2219" s="1100">
        <v>1.0230170361165651</v>
      </c>
      <c r="G2219" s="1100">
        <v>0.9682844378412202</v>
      </c>
      <c r="H2219" s="1100">
        <v>1.0256791977530384</v>
      </c>
      <c r="I2219" s="1100">
        <v>1.0191328249439622</v>
      </c>
      <c r="K2219">
        <v>1.174965132326008</v>
      </c>
      <c r="L2219">
        <v>0</v>
      </c>
      <c r="M2219">
        <v>7.9033230455936919E-4</v>
      </c>
      <c r="N2219">
        <v>7.7764020916734941E-2</v>
      </c>
      <c r="O2219">
        <v>1.0435254756256221E-2</v>
      </c>
      <c r="P2219">
        <v>1.4025324984486522E-2</v>
      </c>
      <c r="Q2219">
        <v>4.6327650533768103E-4</v>
      </c>
      <c r="R2219">
        <v>7.8862573590528706E-4</v>
      </c>
      <c r="S2219">
        <v>7.6018036426684477E-2</v>
      </c>
      <c r="T2219">
        <v>0.84518997194878898</v>
      </c>
      <c r="U2219">
        <v>0</v>
      </c>
      <c r="V2219">
        <v>9.0821990967598146E-2</v>
      </c>
      <c r="W2219">
        <v>5.0422974037128906E-2</v>
      </c>
      <c r="X2219">
        <v>7.6796090689137458E-3</v>
      </c>
      <c r="Y2219">
        <v>2.1463792827302185E-3</v>
      </c>
    </row>
    <row r="2220" spans="1:25" x14ac:dyDescent="0.25">
      <c r="A2220" s="1096"/>
      <c r="B2220" s="1455">
        <v>1970</v>
      </c>
      <c r="C2220" s="1100">
        <v>0.9958303161404225</v>
      </c>
      <c r="D2220" s="1100">
        <v>1.0043693365235933</v>
      </c>
      <c r="E2220" s="1100">
        <v>0.99953694975870699</v>
      </c>
      <c r="F2220" s="1100">
        <v>0.98011499642058786</v>
      </c>
      <c r="G2220" s="1100">
        <v>0.97579319750326243</v>
      </c>
      <c r="H2220" s="1100">
        <v>1.0360267124007114</v>
      </c>
      <c r="I2220" s="1100">
        <v>1.0022345858168815</v>
      </c>
      <c r="K2220">
        <v>1.1372707343946409</v>
      </c>
      <c r="L2220">
        <v>0</v>
      </c>
      <c r="M2220">
        <v>8.3244030719513157E-4</v>
      </c>
      <c r="N2220">
        <v>7.6501404271195006E-2</v>
      </c>
      <c r="O2220">
        <v>1.0374334971191638E-2</v>
      </c>
      <c r="P2220">
        <v>1.3315400079141587E-2</v>
      </c>
      <c r="Q2220">
        <v>4.5027703770449552E-4</v>
      </c>
      <c r="R2220">
        <v>8.3066076731349605E-4</v>
      </c>
      <c r="S2220">
        <v>7.4642206762297852E-2</v>
      </c>
      <c r="T2220">
        <v>0.81120570323937535</v>
      </c>
      <c r="U2220">
        <v>0</v>
      </c>
      <c r="V2220">
        <v>9.1164442303617213E-2</v>
      </c>
      <c r="W2220">
        <v>5.0270057641461578E-2</v>
      </c>
      <c r="X2220">
        <v>7.0879028471581224E-3</v>
      </c>
      <c r="Y2220">
        <v>2.2607847813789837E-3</v>
      </c>
    </row>
    <row r="2221" spans="1:25" x14ac:dyDescent="0.25">
      <c r="A2221" s="1096"/>
      <c r="B2221" s="1455">
        <v>1971</v>
      </c>
      <c r="C2221" s="1100">
        <v>1.009642947767774</v>
      </c>
      <c r="D2221" s="1100">
        <v>0.99930613245513955</v>
      </c>
      <c r="E2221" s="1100">
        <v>0.98102132442898016</v>
      </c>
      <c r="F2221" s="1100">
        <v>1.0052429995180867</v>
      </c>
      <c r="G2221" s="1100">
        <v>1.0211487392520435</v>
      </c>
      <c r="H2221" s="1100">
        <v>1.0165120836325168</v>
      </c>
      <c r="I2221" s="1100">
        <v>0.97258860349249221</v>
      </c>
      <c r="K2221">
        <v>1.1513266559284514</v>
      </c>
      <c r="L2221">
        <v>0</v>
      </c>
      <c r="M2221">
        <v>8.3877367688542435E-4</v>
      </c>
      <c r="N2221">
        <v>7.2883895262891213E-2</v>
      </c>
      <c r="O2221">
        <v>1.0247118505503314E-2</v>
      </c>
      <c r="P2221">
        <v>1.3397382443560039E-2</v>
      </c>
      <c r="Q2221">
        <v>4.3651050175121288E-4</v>
      </c>
      <c r="R2221">
        <v>8.3694617503708474E-4</v>
      </c>
      <c r="S2221">
        <v>7.084199086639005E-2</v>
      </c>
      <c r="T2221">
        <v>0.83324134881507494</v>
      </c>
      <c r="U2221">
        <v>0</v>
      </c>
      <c r="V2221">
        <v>9.2760792572686809E-2</v>
      </c>
      <c r="W2221">
        <v>4.8427018302557294E-2</v>
      </c>
      <c r="X2221">
        <v>6.8145345706656308E-3</v>
      </c>
      <c r="Y2221">
        <v>2.2778915892184936E-3</v>
      </c>
    </row>
    <row r="2222" spans="1:25" x14ac:dyDescent="0.25">
      <c r="A2222" s="1096"/>
      <c r="B2222" s="1455">
        <v>1972</v>
      </c>
      <c r="C2222" s="1100">
        <v>1.0038383591107556</v>
      </c>
      <c r="D2222" s="1100">
        <v>0.98920084604146186</v>
      </c>
      <c r="E2222" s="1100">
        <v>0.95349424573177233</v>
      </c>
      <c r="F2222" s="1100">
        <v>0.99904938533419185</v>
      </c>
      <c r="G2222" s="1100">
        <v>0.98723521038517159</v>
      </c>
      <c r="H2222" s="1100">
        <v>1.0216669640654368</v>
      </c>
      <c r="I2222" s="1100">
        <v>0.97553695353594483</v>
      </c>
      <c r="K2222">
        <v>1.1467575278038369</v>
      </c>
      <c r="L2222">
        <v>0</v>
      </c>
      <c r="M2222">
        <v>9.0111553050794592E-4</v>
      </c>
      <c r="N2222">
        <v>7.2038847528875141E-2</v>
      </c>
      <c r="O2222">
        <v>1.0339391428182181E-2</v>
      </c>
      <c r="P2222">
        <v>1.3071561390823275E-2</v>
      </c>
      <c r="Q2222">
        <v>4.2820352980201763E-4</v>
      </c>
      <c r="R2222">
        <v>8.9916210568556241E-4</v>
      </c>
      <c r="S2222">
        <v>7.201364248710887E-2</v>
      </c>
      <c r="T2222">
        <v>0.82995730368574994</v>
      </c>
      <c r="U2222">
        <v>0</v>
      </c>
      <c r="V2222">
        <v>9.1448769638109439E-2</v>
      </c>
      <c r="W2222">
        <v>4.8676022570942307E-2</v>
      </c>
      <c r="X2222">
        <v>6.3385161260986981E-3</v>
      </c>
      <c r="Y2222">
        <v>2.447222842967623E-3</v>
      </c>
    </row>
    <row r="2223" spans="1:25" x14ac:dyDescent="0.25">
      <c r="A2223" s="1096"/>
      <c r="B2223" s="1455">
        <v>1973</v>
      </c>
      <c r="C2223" s="1100">
        <v>1.0180233111235162</v>
      </c>
      <c r="D2223" s="1100">
        <v>1.0270698749092284</v>
      </c>
      <c r="E2223" s="1100">
        <v>0.98358835999789518</v>
      </c>
      <c r="F2223" s="1100">
        <v>0.99691894276780779</v>
      </c>
      <c r="G2223" s="1100">
        <v>1.0116951950632804</v>
      </c>
      <c r="H2223" s="1100">
        <v>0.9989043308707708</v>
      </c>
      <c r="I2223" s="1100">
        <v>0.97134402270912346</v>
      </c>
      <c r="K2223">
        <v>1.1367129818079309</v>
      </c>
      <c r="L2223">
        <v>0</v>
      </c>
      <c r="M2223">
        <v>8.0426569482245356E-4</v>
      </c>
      <c r="N2223">
        <v>7.0427487450812329E-2</v>
      </c>
      <c r="O2223">
        <v>1.0052786381126923E-2</v>
      </c>
      <c r="P2223">
        <v>1.3288819146326455E-2</v>
      </c>
      <c r="Q2223">
        <v>4.2934960802735496E-4</v>
      </c>
      <c r="R2223">
        <v>8.0248249001423674E-4</v>
      </c>
      <c r="S2223">
        <v>6.8518144450984322E-2</v>
      </c>
      <c r="T2223">
        <v>0.82617068393337112</v>
      </c>
      <c r="U2223">
        <v>0</v>
      </c>
      <c r="V2223">
        <v>9.2154812566609609E-2</v>
      </c>
      <c r="W2223">
        <v>4.6722535823107009E-2</v>
      </c>
      <c r="X2223">
        <v>6.7660528528362138E-3</v>
      </c>
      <c r="Y2223">
        <v>2.1840927995370155E-3</v>
      </c>
    </row>
    <row r="2224" spans="1:25" x14ac:dyDescent="0.25">
      <c r="A2224" s="1096"/>
      <c r="B2224" s="1455">
        <v>1974</v>
      </c>
      <c r="C2224" s="1100">
        <v>1.0053692088519071</v>
      </c>
      <c r="D2224" s="1100">
        <v>0.98042185905050649</v>
      </c>
      <c r="E2224" s="1100">
        <v>0.97874111795737151</v>
      </c>
      <c r="F2224" s="1100">
        <v>0.99418334540121533</v>
      </c>
      <c r="G2224" s="1100">
        <v>1.0062001755026249</v>
      </c>
      <c r="H2224" s="1100">
        <v>1.0198345138966736</v>
      </c>
      <c r="I2224" s="1100">
        <v>1.0265755455066301</v>
      </c>
      <c r="K2224">
        <v>1.1486046183074474</v>
      </c>
      <c r="L2224">
        <v>0</v>
      </c>
      <c r="M2224">
        <v>8.5559071954045168E-4</v>
      </c>
      <c r="N2224">
        <v>7.3834554221570189E-2</v>
      </c>
      <c r="O2224">
        <v>1.0368763884927778E-2</v>
      </c>
      <c r="P2224">
        <v>1.3314867800938787E-2</v>
      </c>
      <c r="Q2224">
        <v>4.4066984880051493E-4</v>
      </c>
      <c r="R2224">
        <v>8.5373265011301318E-4</v>
      </c>
      <c r="S2224">
        <v>7.5966398571396601E-2</v>
      </c>
      <c r="T2224">
        <v>0.82422561037604691</v>
      </c>
      <c r="U2224">
        <v>0</v>
      </c>
      <c r="V2224">
        <v>9.2225529941793366E-2</v>
      </c>
      <c r="W2224">
        <v>4.9126273643210414E-2</v>
      </c>
      <c r="X2224">
        <v>6.7802292474746298E-3</v>
      </c>
      <c r="Y2224">
        <v>2.3235788407151483E-3</v>
      </c>
    </row>
    <row r="2225" spans="1:25" x14ac:dyDescent="0.25">
      <c r="A2225" s="1096"/>
      <c r="B2225" s="1455">
        <v>1975</v>
      </c>
      <c r="C2225" s="1100">
        <v>0.99664411275763898</v>
      </c>
      <c r="D2225" s="1100">
        <v>0.99163774651704972</v>
      </c>
      <c r="E2225" s="1100">
        <v>0.98687740757703224</v>
      </c>
      <c r="F2225" s="1100">
        <v>0.99035456071542038</v>
      </c>
      <c r="G2225" s="1100">
        <v>0.9758992429691189</v>
      </c>
      <c r="H2225" s="1100">
        <v>0.99944777360689907</v>
      </c>
      <c r="I2225" s="1100">
        <v>1.0242699481651523</v>
      </c>
      <c r="K2225">
        <v>1.1418684044006866</v>
      </c>
      <c r="L2225">
        <v>0</v>
      </c>
      <c r="M2225">
        <v>8.2793459776177032E-4</v>
      </c>
      <c r="N2225">
        <v>7.3225010431973825E-2</v>
      </c>
      <c r="O2225">
        <v>1.041472810602646E-2</v>
      </c>
      <c r="P2225">
        <v>1.3321852927612772E-2</v>
      </c>
      <c r="Q2225">
        <v>4.4629310102601628E-4</v>
      </c>
      <c r="R2225">
        <v>8.2609991278704859E-4</v>
      </c>
      <c r="S2225">
        <v>7.5169796275188647E-2</v>
      </c>
      <c r="T2225">
        <v>0.82051341535055966</v>
      </c>
      <c r="U2225">
        <v>0</v>
      </c>
      <c r="V2225">
        <v>9.1146617732213095E-2</v>
      </c>
      <c r="W2225">
        <v>4.8482466994534464E-2</v>
      </c>
      <c r="X2225">
        <v>6.9016865276827991E-3</v>
      </c>
      <c r="Y2225">
        <v>2.248371638843285E-3</v>
      </c>
    </row>
    <row r="2226" spans="1:25" x14ac:dyDescent="0.25">
      <c r="A2226" s="1096"/>
      <c r="B2226" s="1455">
        <v>1976</v>
      </c>
      <c r="C2226" s="1100">
        <v>1.0293594602472658</v>
      </c>
      <c r="D2226" s="1100">
        <v>1.0121700658435409</v>
      </c>
      <c r="E2226" s="1100">
        <v>1.0280428386095573</v>
      </c>
      <c r="F2226" s="1100">
        <v>0.97423403921792773</v>
      </c>
      <c r="G2226" s="1100">
        <v>1.0043361312051933</v>
      </c>
      <c r="H2226" s="1100">
        <v>0.99412254708664549</v>
      </c>
      <c r="I2226" s="1100">
        <v>1.0131748668708049</v>
      </c>
      <c r="K2226">
        <v>1.1201833478540537</v>
      </c>
      <c r="L2226">
        <v>0</v>
      </c>
      <c r="M2226">
        <v>7.2604279931534664E-4</v>
      </c>
      <c r="N2226">
        <v>7.2711645644364969E-2</v>
      </c>
      <c r="O2226">
        <v>1.0014440911103848E-2</v>
      </c>
      <c r="P2226">
        <v>1.3461281583451182E-2</v>
      </c>
      <c r="Q2226">
        <v>4.4719409886730826E-4</v>
      </c>
      <c r="R2226">
        <v>7.2442528595486634E-4</v>
      </c>
      <c r="S2226">
        <v>7.1074011624305655E-2</v>
      </c>
      <c r="T2226">
        <v>0.80451205818481375</v>
      </c>
      <c r="U2226">
        <v>0</v>
      </c>
      <c r="V2226">
        <v>9.1578295130961537E-2</v>
      </c>
      <c r="W2226">
        <v>4.6985662427961247E-2</v>
      </c>
      <c r="X2226">
        <v>7.4287289399466985E-3</v>
      </c>
      <c r="Y2226">
        <v>1.9716468216378112E-3</v>
      </c>
    </row>
    <row r="2227" spans="1:25" x14ac:dyDescent="0.25">
      <c r="A2227" s="1096"/>
      <c r="B2227" s="1455">
        <v>1977</v>
      </c>
      <c r="C2227" s="1100">
        <v>1.037426351957093</v>
      </c>
      <c r="D2227" s="1100">
        <v>0.97726610950802451</v>
      </c>
      <c r="E2227" s="1100">
        <v>0.98614225347175921</v>
      </c>
      <c r="F2227" s="1100">
        <v>1.028541848435347</v>
      </c>
      <c r="G2227" s="1100">
        <v>1.0407686159303446</v>
      </c>
      <c r="H2227" s="1100">
        <v>1.0283781814208741</v>
      </c>
      <c r="I2227" s="1100">
        <v>1.0193821019559703</v>
      </c>
      <c r="K2227">
        <v>1.1731257196047993</v>
      </c>
      <c r="L2227">
        <v>0</v>
      </c>
      <c r="M2227">
        <v>8.2445805878085423E-4</v>
      </c>
      <c r="N2227">
        <v>7.2760145901353407E-2</v>
      </c>
      <c r="O2227">
        <v>1.0063678904946607E-2</v>
      </c>
      <c r="P2227">
        <v>1.374466427803572E-2</v>
      </c>
      <c r="Q2227">
        <v>4.3092895089430288E-4</v>
      </c>
      <c r="R2227">
        <v>8.2268247450052246E-4</v>
      </c>
      <c r="S2227">
        <v>7.357738656963532E-2</v>
      </c>
      <c r="T2227">
        <v>0.8522021530578574</v>
      </c>
      <c r="U2227">
        <v>0</v>
      </c>
      <c r="V2227">
        <v>9.2943162995622747E-2</v>
      </c>
      <c r="W2227">
        <v>4.8195958601836994E-2</v>
      </c>
      <c r="X2227">
        <v>6.9703454305111556E-3</v>
      </c>
      <c r="Y2227">
        <v>2.2390704983855886E-3</v>
      </c>
    </row>
    <row r="2228" spans="1:25" x14ac:dyDescent="0.25">
      <c r="A2228" s="1096"/>
      <c r="B2228" s="1455">
        <v>1978</v>
      </c>
      <c r="C2228" s="1100">
        <v>0.98488707742572612</v>
      </c>
      <c r="D2228" s="1100">
        <v>0.98345978158693881</v>
      </c>
      <c r="E2228" s="1100">
        <v>1.0034821486252732</v>
      </c>
      <c r="F2228" s="1100">
        <v>1.0313931133525451</v>
      </c>
      <c r="G2228" s="1100">
        <v>0.996570744944138</v>
      </c>
      <c r="H2228" s="1100">
        <v>1.0471734606732757</v>
      </c>
      <c r="I2228" s="1100">
        <v>1.018820085293584</v>
      </c>
      <c r="K2228">
        <v>1.1895393311141569</v>
      </c>
      <c r="L2228">
        <v>0</v>
      </c>
      <c r="M2228">
        <v>8.5094112415589533E-4</v>
      </c>
      <c r="N2228">
        <v>7.9141018136978727E-2</v>
      </c>
      <c r="O2228">
        <v>1.0579572127939928E-2</v>
      </c>
      <c r="P2228">
        <v>1.399323113592835E-2</v>
      </c>
      <c r="Q2228">
        <v>4.6100798950904663E-4</v>
      </c>
      <c r="R2228">
        <v>8.4914139785443015E-4</v>
      </c>
      <c r="S2228">
        <v>7.8027397861964012E-2</v>
      </c>
      <c r="T2228">
        <v>0.8533775528504598</v>
      </c>
      <c r="U2228">
        <v>0</v>
      </c>
      <c r="V2228">
        <v>9.2329900617986488E-2</v>
      </c>
      <c r="W2228">
        <v>5.1882928693990978E-2</v>
      </c>
      <c r="X2228">
        <v>7.4374384601272698E-3</v>
      </c>
      <c r="Y2228">
        <v>2.3110829655731855E-3</v>
      </c>
    </row>
    <row r="2229" spans="1:25" x14ac:dyDescent="0.25">
      <c r="A2229" s="1096"/>
      <c r="B2229" s="1455">
        <v>1979</v>
      </c>
      <c r="C2229" s="1100">
        <v>0.99450739158480639</v>
      </c>
      <c r="D2229" s="1100">
        <v>1.0181353082908695</v>
      </c>
      <c r="E2229" s="1100">
        <v>0.99905590236436437</v>
      </c>
      <c r="F2229" s="1100">
        <v>1.016477684327046</v>
      </c>
      <c r="G2229" s="1100">
        <v>1.0168171258850263</v>
      </c>
      <c r="H2229" s="1100">
        <v>1.0043132086180249</v>
      </c>
      <c r="I2229" s="1100">
        <v>1.0130574308256861</v>
      </c>
      <c r="K2229">
        <v>1.1642363347050662</v>
      </c>
      <c r="L2229">
        <v>0</v>
      </c>
      <c r="M2229">
        <v>8.0444644674497283E-4</v>
      </c>
      <c r="N2229">
        <v>7.3816398158469909E-2</v>
      </c>
      <c r="O2229">
        <v>1.0331566293550504E-2</v>
      </c>
      <c r="P2229">
        <v>1.3732782611521449E-2</v>
      </c>
      <c r="Q2229">
        <v>4.4820388885622435E-4</v>
      </c>
      <c r="R2229">
        <v>8.026724470488729E-4</v>
      </c>
      <c r="S2229">
        <v>7.3719668087498094E-2</v>
      </c>
      <c r="T2229">
        <v>0.8413341672639324</v>
      </c>
      <c r="U2229">
        <v>0</v>
      </c>
      <c r="V2229">
        <v>9.2951398108712682E-2</v>
      </c>
      <c r="W2229">
        <v>4.8519583428483587E-2</v>
      </c>
      <c r="X2229">
        <v>7.1997310637720111E-3</v>
      </c>
      <c r="Y2229">
        <v>2.1846097999659755E-3</v>
      </c>
    </row>
    <row r="2230" spans="1:25" x14ac:dyDescent="0.25">
      <c r="A2230" s="1096"/>
      <c r="B2230" s="1455">
        <v>1980</v>
      </c>
      <c r="C2230" s="1100">
        <v>0.98154972124840756</v>
      </c>
      <c r="D2230" s="1100">
        <v>0.98466963650725881</v>
      </c>
      <c r="E2230" s="1100">
        <v>1.0066110479992387</v>
      </c>
      <c r="F2230" s="1100">
        <v>0.98495586015351444</v>
      </c>
      <c r="G2230" s="1100">
        <v>1.0026792602629397</v>
      </c>
      <c r="H2230" s="1100">
        <v>1.0246426941583069</v>
      </c>
      <c r="I2230" s="1100">
        <v>0.98711553475510827</v>
      </c>
      <c r="K2230">
        <v>1.1452501044473682</v>
      </c>
      <c r="L2230">
        <v>0</v>
      </c>
      <c r="M2230">
        <v>8.296463211191473E-4</v>
      </c>
      <c r="N2230">
        <v>7.7889473887231941E-2</v>
      </c>
      <c r="O2230">
        <v>1.0611375029287178E-2</v>
      </c>
      <c r="P2230">
        <v>1.3458380083169831E-2</v>
      </c>
      <c r="Q2230">
        <v>4.6384631057053697E-4</v>
      </c>
      <c r="R2230">
        <v>8.2785304930780266E-4</v>
      </c>
      <c r="S2230">
        <v>7.4884873750286143E-2</v>
      </c>
      <c r="T2230">
        <v>0.81475171156428949</v>
      </c>
      <c r="U2230">
        <v>0</v>
      </c>
      <c r="V2230">
        <v>9.2677105558517534E-2</v>
      </c>
      <c r="W2230">
        <v>5.0967953495909213E-2</v>
      </c>
      <c r="X2230">
        <v>7.2940349413855533E-3</v>
      </c>
      <c r="Y2230">
        <v>2.2531430985314781E-3</v>
      </c>
    </row>
    <row r="2231" spans="1:25" x14ac:dyDescent="0.25">
      <c r="A2231" s="1096"/>
      <c r="B2231" s="1455">
        <v>1981</v>
      </c>
      <c r="C2231" s="1100">
        <v>0.98289272665914418</v>
      </c>
      <c r="D2231" s="1100">
        <v>1.002014977076072</v>
      </c>
      <c r="E2231" s="1100">
        <v>1.0117132328199923</v>
      </c>
      <c r="F2231" s="1100">
        <v>1.0373077112880564</v>
      </c>
      <c r="G2231" s="1100">
        <v>1.0362886576146937</v>
      </c>
      <c r="H2231" s="1100">
        <v>0.97467833066030707</v>
      </c>
      <c r="I2231" s="1100">
        <v>0.98945760966063923</v>
      </c>
      <c r="K2231">
        <v>1.1807266084575387</v>
      </c>
      <c r="L2231">
        <v>0</v>
      </c>
      <c r="M2231">
        <v>7.7437570807201747E-4</v>
      </c>
      <c r="N2231">
        <v>7.3820899304428589E-2</v>
      </c>
      <c r="O2231">
        <v>1.0524816583179867E-2</v>
      </c>
      <c r="P2231">
        <v>1.4083083312015569E-2</v>
      </c>
      <c r="Q2231">
        <v>4.6241621552883886E-4</v>
      </c>
      <c r="R2231">
        <v>7.7261609982854317E-4</v>
      </c>
      <c r="S2231">
        <v>7.2253895248857822E-2</v>
      </c>
      <c r="T2231">
        <v>0.85770814209404489</v>
      </c>
      <c r="U2231">
        <v>0</v>
      </c>
      <c r="V2231">
        <v>9.4080086315452241E-2</v>
      </c>
      <c r="W2231">
        <v>4.8160419232056578E-2</v>
      </c>
      <c r="X2231">
        <v>7.5318034293134885E-3</v>
      </c>
      <c r="Y2231">
        <v>2.1028063309044363E-3</v>
      </c>
    </row>
    <row r="2232" spans="1:25" x14ac:dyDescent="0.25">
      <c r="A2232" s="1096"/>
      <c r="B2232" s="1455">
        <v>1982</v>
      </c>
      <c r="C2232" s="1100">
        <v>0.98060312424201546</v>
      </c>
      <c r="D2232" s="1100">
        <v>1.0282087819037111</v>
      </c>
      <c r="E2232" s="1100">
        <v>0.98957942350430828</v>
      </c>
      <c r="F2232" s="1100">
        <v>0.99394839947189151</v>
      </c>
      <c r="G2232" s="1100">
        <v>1.0174201968731518</v>
      </c>
      <c r="H2232" s="1100">
        <v>0.98411275254591157</v>
      </c>
      <c r="I2232" s="1100">
        <v>1.0040090545827087</v>
      </c>
      <c r="K2232">
        <v>1.1432302684456526</v>
      </c>
      <c r="L2232">
        <v>0</v>
      </c>
      <c r="M2232">
        <v>8.1209466692982763E-4</v>
      </c>
      <c r="N2232">
        <v>7.2410811539063938E-2</v>
      </c>
      <c r="O2232">
        <v>1.0433752288566848E-2</v>
      </c>
      <c r="P2232">
        <v>1.3385455347430851E-2</v>
      </c>
      <c r="Q2232">
        <v>4.4833230084570481E-4</v>
      </c>
      <c r="R2232">
        <v>8.1026704072366862E-4</v>
      </c>
      <c r="S2232">
        <v>7.2881031616561551E-2</v>
      </c>
      <c r="T2232">
        <v>0.82331210037386215</v>
      </c>
      <c r="U2232">
        <v>0</v>
      </c>
      <c r="V2232">
        <v>9.3329181371806499E-2</v>
      </c>
      <c r="W2232">
        <v>4.7865733290806227E-2</v>
      </c>
      <c r="X2232">
        <v>6.9604181625221428E-3</v>
      </c>
      <c r="Y2232">
        <v>2.2052797803916368E-3</v>
      </c>
    </row>
    <row r="2233" spans="1:25" x14ac:dyDescent="0.25">
      <c r="A2233" s="1096"/>
      <c r="B2233" s="1455">
        <v>1983</v>
      </c>
      <c r="C2233" s="1100">
        <v>0.98567304291290136</v>
      </c>
      <c r="D2233" s="1100">
        <v>0.99357732060021742</v>
      </c>
      <c r="E2233" s="1100">
        <v>0.98951474707567821</v>
      </c>
      <c r="F2233" s="1100">
        <v>1.0037127464623732</v>
      </c>
      <c r="G2233" s="1100">
        <v>1.0100939742722308</v>
      </c>
      <c r="H2233" s="1100">
        <v>0.964668807076698</v>
      </c>
      <c r="I2233" s="1100">
        <v>1.0357794584584761</v>
      </c>
      <c r="K2233">
        <v>1.1521821486565775</v>
      </c>
      <c r="L2233">
        <v>0</v>
      </c>
      <c r="M2233">
        <v>8.0299058413743694E-4</v>
      </c>
      <c r="N2233">
        <v>7.1581787157859844E-2</v>
      </c>
      <c r="O2233">
        <v>1.0523298355213555E-2</v>
      </c>
      <c r="P2233">
        <v>1.3520946527570103E-2</v>
      </c>
      <c r="Q2233">
        <v>4.5215047683897636E-4</v>
      </c>
      <c r="R2233">
        <v>8.0114702193693848E-4</v>
      </c>
      <c r="S2233">
        <v>7.5296268264284955E-2</v>
      </c>
      <c r="T2233">
        <v>0.83140447081016666</v>
      </c>
      <c r="U2233">
        <v>0</v>
      </c>
      <c r="V2233">
        <v>9.2885929660383462E-2</v>
      </c>
      <c r="W2233">
        <v>4.7319557160821625E-2</v>
      </c>
      <c r="X2233">
        <v>7.019125709971318E-3</v>
      </c>
      <c r="Y2233">
        <v>2.1804580956675435E-3</v>
      </c>
    </row>
    <row r="2234" spans="1:25" x14ac:dyDescent="0.25">
      <c r="A2234" s="1096"/>
      <c r="B2234" s="1455">
        <v>1984</v>
      </c>
      <c r="C2234" s="1100">
        <v>0.99540531017465195</v>
      </c>
      <c r="D2234" s="1100">
        <v>1.0087074498564306</v>
      </c>
      <c r="E2234" s="1100">
        <v>0.99706926965996556</v>
      </c>
      <c r="F2234" s="1100">
        <v>0.98781441911651868</v>
      </c>
      <c r="G2234" s="1100">
        <v>0.99421166303412745</v>
      </c>
      <c r="H2234" s="1100">
        <v>1.0389183120394465</v>
      </c>
      <c r="I2234" s="1100">
        <v>0.98150312333004164</v>
      </c>
      <c r="K2234">
        <v>1.1430418593394487</v>
      </c>
      <c r="L2234">
        <v>0</v>
      </c>
      <c r="M2234">
        <v>8.3795881413506359E-4</v>
      </c>
      <c r="N2234">
        <v>7.6436946530666738E-2</v>
      </c>
      <c r="O2234">
        <v>1.0360078775452027E-2</v>
      </c>
      <c r="P2234">
        <v>1.336931895125361E-2</v>
      </c>
      <c r="Q2234">
        <v>4.4854325304074572E-4</v>
      </c>
      <c r="R2234">
        <v>8.3617246291831267E-4</v>
      </c>
      <c r="S2234">
        <v>7.3081254274045271E-2</v>
      </c>
      <c r="T2234">
        <v>0.81773975202405103</v>
      </c>
      <c r="U2234">
        <v>0</v>
      </c>
      <c r="V2234">
        <v>9.1962143763978238E-2</v>
      </c>
      <c r="W2234">
        <v>5.0301521264422659E-2</v>
      </c>
      <c r="X2234">
        <v>7.0683010538701973E-3</v>
      </c>
      <c r="Y2234">
        <v>2.2757857998853275E-3</v>
      </c>
    </row>
    <row r="2235" spans="1:25" x14ac:dyDescent="0.25">
      <c r="A2235" s="1096"/>
      <c r="B2235" s="1455">
        <v>1985</v>
      </c>
      <c r="C2235" s="1100">
        <v>0.998583935262497</v>
      </c>
      <c r="D2235" s="1100">
        <v>1.0254762737341794</v>
      </c>
      <c r="E2235" s="1100">
        <v>0.9995465855624569</v>
      </c>
      <c r="F2235" s="1100">
        <v>1.023226461931745</v>
      </c>
      <c r="G2235" s="1100">
        <v>1.0272169011656413</v>
      </c>
      <c r="H2235" s="1100">
        <v>1.0255443664720512</v>
      </c>
      <c r="I2235" s="1100">
        <v>1.0223161677931982</v>
      </c>
      <c r="K2235">
        <v>1.1729614937536792</v>
      </c>
      <c r="L2235">
        <v>0</v>
      </c>
      <c r="M2235">
        <v>8.1492158424651827E-4</v>
      </c>
      <c r="N2235">
        <v>7.4891971059034959E-2</v>
      </c>
      <c r="O2235">
        <v>1.0260022157881356E-2</v>
      </c>
      <c r="P2235">
        <v>1.3831442906369642E-2</v>
      </c>
      <c r="Q2235">
        <v>4.4531983543792816E-4</v>
      </c>
      <c r="R2235">
        <v>8.1316168848480602E-4</v>
      </c>
      <c r="S2235">
        <v>7.4693446811057232E-2</v>
      </c>
      <c r="T2235">
        <v>0.8468868497466181</v>
      </c>
      <c r="U2235">
        <v>0</v>
      </c>
      <c r="V2235">
        <v>9.3294364246844161E-2</v>
      </c>
      <c r="W2235">
        <v>4.9212196416833359E-2</v>
      </c>
      <c r="X2235">
        <v>7.2344824119863092E-3</v>
      </c>
      <c r="Y2235">
        <v>2.2131580573770751E-3</v>
      </c>
    </row>
    <row r="2236" spans="1:25" x14ac:dyDescent="0.25">
      <c r="A2236" s="1096"/>
      <c r="B2236" s="1455">
        <v>1986</v>
      </c>
      <c r="C2236" s="1100">
        <v>1.0229046767608516</v>
      </c>
      <c r="D2236" s="1100">
        <v>1.0030829941124206</v>
      </c>
      <c r="E2236" s="1100">
        <v>0.97579729769987278</v>
      </c>
      <c r="F2236" s="1100">
        <v>1.0054592471024273</v>
      </c>
      <c r="G2236" s="1100">
        <v>1.0236308898837796</v>
      </c>
      <c r="H2236" s="1100">
        <v>0.98697625579016435</v>
      </c>
      <c r="I2236" s="1100">
        <v>0.98704363741771339</v>
      </c>
      <c r="K2236">
        <v>1.1443669183694585</v>
      </c>
      <c r="L2236">
        <v>0</v>
      </c>
      <c r="M2236">
        <v>8.1134657048054519E-4</v>
      </c>
      <c r="N2236">
        <v>6.939041584598428E-2</v>
      </c>
      <c r="O2236">
        <v>1.0097352889815767E-2</v>
      </c>
      <c r="P2236">
        <v>1.3332631140628862E-2</v>
      </c>
      <c r="Q2236">
        <v>4.2785090983269537E-4</v>
      </c>
      <c r="R2236">
        <v>8.0952592545904052E-4</v>
      </c>
      <c r="S2236">
        <v>6.9662208821466953E-2</v>
      </c>
      <c r="T2236">
        <v>0.83377200913434235</v>
      </c>
      <c r="U2236">
        <v>0</v>
      </c>
      <c r="V2236">
        <v>9.2548242817469484E-2</v>
      </c>
      <c r="W2236">
        <v>4.6251658302291311E-2</v>
      </c>
      <c r="X2236">
        <v>6.6831064436995323E-3</v>
      </c>
      <c r="Y2236">
        <v>2.2032627089499015E-3</v>
      </c>
    </row>
    <row r="2237" spans="1:25" x14ac:dyDescent="0.25">
      <c r="A2237" s="1096"/>
      <c r="B2237" s="1455">
        <v>1987</v>
      </c>
      <c r="C2237" s="1100">
        <v>1.0218849458214609</v>
      </c>
      <c r="D2237" s="1100">
        <v>1.0102188564809993</v>
      </c>
      <c r="E2237" s="1100">
        <v>1.0230831437269401</v>
      </c>
      <c r="F2237" s="1100">
        <v>1.0026203100340454</v>
      </c>
      <c r="G2237" s="1100">
        <v>0.995320842276467</v>
      </c>
      <c r="H2237" s="1100">
        <v>0.98883267206941261</v>
      </c>
      <c r="I2237" s="1100">
        <v>1.0001961426307748</v>
      </c>
      <c r="K2237">
        <v>1.1435215915619352</v>
      </c>
      <c r="L2237">
        <v>0</v>
      </c>
      <c r="M2237">
        <v>7.3558150176284863E-4</v>
      </c>
      <c r="N2237">
        <v>7.2572478746181418E-2</v>
      </c>
      <c r="O2237">
        <v>1.0093891818845952E-2</v>
      </c>
      <c r="P2237">
        <v>1.3731714848548404E-2</v>
      </c>
      <c r="Q2237">
        <v>4.485317471440323E-4</v>
      </c>
      <c r="R2237">
        <v>7.3393397085966402E-4</v>
      </c>
      <c r="S2237">
        <v>7.0531272367258646E-2</v>
      </c>
      <c r="T2237">
        <v>0.82827823342676254</v>
      </c>
      <c r="U2237">
        <v>0</v>
      </c>
      <c r="V2237">
        <v>9.1368392849554919E-2</v>
      </c>
      <c r="W2237">
        <v>4.7031413000473941E-2</v>
      </c>
      <c r="X2237">
        <v>7.4697839606583643E-3</v>
      </c>
      <c r="Y2237">
        <v>1.9975263274115349E-3</v>
      </c>
    </row>
    <row r="2238" spans="1:25" x14ac:dyDescent="0.25">
      <c r="A2238" s="1096"/>
      <c r="B2238" s="1455">
        <v>1988</v>
      </c>
      <c r="C2238" s="1100">
        <v>1.0095409291268149</v>
      </c>
      <c r="D2238" s="1100">
        <v>0.97660504651325308</v>
      </c>
      <c r="E2238" s="1100">
        <v>0.99150840521099626</v>
      </c>
      <c r="F2238" s="1100">
        <v>1.0100370097711664</v>
      </c>
      <c r="G2238" s="1100">
        <v>0.98718130556119199</v>
      </c>
      <c r="H2238" s="1100">
        <v>0.99798972739218073</v>
      </c>
      <c r="I2238" s="1100">
        <v>0.99461519420743039</v>
      </c>
      <c r="K2238">
        <v>1.1550903511774016</v>
      </c>
      <c r="L2238">
        <v>0</v>
      </c>
      <c r="M2238">
        <v>8.1333033937644938E-4</v>
      </c>
      <c r="N2238">
        <v>7.2947450968834315E-2</v>
      </c>
      <c r="O2238">
        <v>1.0346209390994558E-2</v>
      </c>
      <c r="P2238">
        <v>1.3552169740428728E-2</v>
      </c>
      <c r="Q2238">
        <v>4.4543801748280382E-4</v>
      </c>
      <c r="R2238">
        <v>8.1152538395662431E-4</v>
      </c>
      <c r="S2238">
        <v>7.257521553168203E-2</v>
      </c>
      <c r="T2238">
        <v>0.83650910903924169</v>
      </c>
      <c r="U2238">
        <v>0</v>
      </c>
      <c r="V2238">
        <v>9.1312133281217234E-2</v>
      </c>
      <c r="W2238">
        <v>4.8164801796805122E-2</v>
      </c>
      <c r="X2238">
        <v>7.03092379027433E-3</v>
      </c>
      <c r="Y2238">
        <v>2.2087045758590078E-3</v>
      </c>
    </row>
    <row r="2239" spans="1:25" x14ac:dyDescent="0.25">
      <c r="A2239" s="1096"/>
      <c r="B2239" s="1455">
        <v>1989</v>
      </c>
      <c r="C2239" s="1100">
        <v>1.0146359859887641</v>
      </c>
      <c r="D2239" s="1100">
        <v>0.97305695691886274</v>
      </c>
      <c r="E2239" s="1100">
        <v>0.95616383054777265</v>
      </c>
      <c r="F2239" s="1100">
        <v>1.011091705401447</v>
      </c>
      <c r="G2239" s="1100">
        <v>1.0240365339274113</v>
      </c>
      <c r="H2239" s="1100">
        <v>0.99922365545021152</v>
      </c>
      <c r="I2239" s="1100">
        <v>0.96707460751684371</v>
      </c>
      <c r="K2239">
        <v>1.1534299168942015</v>
      </c>
      <c r="L2239">
        <v>0</v>
      </c>
      <c r="M2239">
        <v>8.7288749560173612E-4</v>
      </c>
      <c r="N2239">
        <v>7.0345735780352844E-2</v>
      </c>
      <c r="O2239">
        <v>1.0297775818123982E-2</v>
      </c>
      <c r="P2239">
        <v>1.3223594440406664E-2</v>
      </c>
      <c r="Q2239">
        <v>4.2765521469126611E-4</v>
      </c>
      <c r="R2239">
        <v>8.7095276213933475E-4</v>
      </c>
      <c r="S2239">
        <v>7.0351204895747893E-2</v>
      </c>
      <c r="T2239">
        <v>0.83977878455439681</v>
      </c>
      <c r="U2239">
        <v>0</v>
      </c>
      <c r="V2239">
        <v>9.2760990133640212E-2</v>
      </c>
      <c r="W2239">
        <v>4.7453898482967931E-2</v>
      </c>
      <c r="X2239">
        <v>6.4217659982919294E-3</v>
      </c>
      <c r="Y2239">
        <v>2.3704463090423919E-3</v>
      </c>
    </row>
    <row r="2240" spans="1:25" x14ac:dyDescent="0.25">
      <c r="A2240" s="1096"/>
      <c r="B2240" s="1455">
        <v>1990</v>
      </c>
      <c r="C2240" s="1100">
        <v>0.99979833688936526</v>
      </c>
      <c r="D2240" s="1100">
        <v>1.025394006125758</v>
      </c>
      <c r="E2240" s="1100">
        <v>0.99452987598974385</v>
      </c>
      <c r="F2240" s="1100">
        <v>1.0262929196887471</v>
      </c>
      <c r="G2240" s="1100">
        <v>0.96989347909097612</v>
      </c>
      <c r="H2240" s="1100">
        <v>0.98320989436623041</v>
      </c>
      <c r="I2240" s="1100">
        <v>1.0141265696310651</v>
      </c>
      <c r="K2240">
        <v>1.1649508942173432</v>
      </c>
      <c r="L2240">
        <v>0</v>
      </c>
      <c r="M2240">
        <v>7.8851685261934932E-4</v>
      </c>
      <c r="N2240">
        <v>7.1368423625821978E-2</v>
      </c>
      <c r="O2240">
        <v>1.0246263562607808E-2</v>
      </c>
      <c r="P2240">
        <v>1.3752048836163277E-2</v>
      </c>
      <c r="Q2240">
        <v>4.424820478442435E-4</v>
      </c>
      <c r="R2240">
        <v>7.8674065895223909E-4</v>
      </c>
      <c r="S2240">
        <v>7.2272730669592236E-2</v>
      </c>
      <c r="T2240">
        <v>0.84976620040292428</v>
      </c>
      <c r="U2240">
        <v>0</v>
      </c>
      <c r="V2240">
        <v>9.0812604377288067E-2</v>
      </c>
      <c r="W2240">
        <v>4.7037208821351463E-2</v>
      </c>
      <c r="X2240">
        <v>7.1134593427374399E-3</v>
      </c>
      <c r="Y2240">
        <v>2.1412487246794724E-3</v>
      </c>
    </row>
    <row r="2241" spans="1:25" x14ac:dyDescent="0.25">
      <c r="A2241" s="1096"/>
      <c r="B2241" s="1455">
        <v>1991</v>
      </c>
      <c r="C2241" s="1100">
        <v>1.0212535923171637</v>
      </c>
      <c r="D2241" s="1100">
        <v>0.9948883377790545</v>
      </c>
      <c r="E2241" s="1100">
        <v>1.0136174930068775</v>
      </c>
      <c r="F2241" s="1100">
        <v>1.0120416298133788</v>
      </c>
      <c r="G2241" s="1100">
        <v>0.97375220992448641</v>
      </c>
      <c r="H2241" s="1100">
        <v>1.0023786517341979</v>
      </c>
      <c r="I2241" s="1100">
        <v>1.0454979969806184</v>
      </c>
      <c r="K2241">
        <v>1.1571799750993734</v>
      </c>
      <c r="L2241">
        <v>0</v>
      </c>
      <c r="M2241">
        <v>7.6562459405417197E-4</v>
      </c>
      <c r="N2241">
        <v>7.3412002553495642E-2</v>
      </c>
      <c r="O2241">
        <v>1.0159052496340899E-2</v>
      </c>
      <c r="P2241">
        <v>1.3800180140834527E-2</v>
      </c>
      <c r="Q2241">
        <v>4.4719528881174346E-4</v>
      </c>
      <c r="R2241">
        <v>7.6393294743545641E-4</v>
      </c>
      <c r="S2241">
        <v>7.4907609391251587E-2</v>
      </c>
      <c r="T2241">
        <v>0.83668983435753308</v>
      </c>
      <c r="U2241">
        <v>0</v>
      </c>
      <c r="V2241">
        <v>9.0459950614348181E-2</v>
      </c>
      <c r="W2241">
        <v>4.7840020057915031E-2</v>
      </c>
      <c r="X2241">
        <v>7.386648192970185E-3</v>
      </c>
      <c r="Y2241">
        <v>2.0791736524908709E-3</v>
      </c>
    </row>
    <row r="2242" spans="1:25" x14ac:dyDescent="0.25">
      <c r="A2242" s="1096"/>
      <c r="B2242" s="1455">
        <v>1992</v>
      </c>
      <c r="C2242" s="1100">
        <v>0.97199033991787209</v>
      </c>
      <c r="D2242" s="1100">
        <v>0.99046314567833238</v>
      </c>
      <c r="E2242" s="1100">
        <v>1.0088176436936651</v>
      </c>
      <c r="F2242" s="1100">
        <v>0.97509213836438136</v>
      </c>
      <c r="G2242" s="1100">
        <v>0.99692546068051013</v>
      </c>
      <c r="H2242" s="1100">
        <v>0.96859899775213554</v>
      </c>
      <c r="I2242" s="1100">
        <v>0.99316534678847557</v>
      </c>
      <c r="K2242">
        <v>1.1294610515036949</v>
      </c>
      <c r="L2242">
        <v>0</v>
      </c>
      <c r="M2242">
        <v>7.865124530375368E-4</v>
      </c>
      <c r="N2242">
        <v>7.4324256628627947E-2</v>
      </c>
      <c r="O2242">
        <v>1.0691367185684284E-2</v>
      </c>
      <c r="P2242">
        <v>1.3347821213925793E-2</v>
      </c>
      <c r="Q2242">
        <v>4.6837624883919968E-4</v>
      </c>
      <c r="R2242">
        <v>7.8471404942673944E-4</v>
      </c>
      <c r="S2242">
        <v>7.3520270430217124E-2</v>
      </c>
      <c r="T2242">
        <v>0.80645056803511961</v>
      </c>
      <c r="U2242">
        <v>0</v>
      </c>
      <c r="V2242">
        <v>9.2679853370035911E-2</v>
      </c>
      <c r="W2242">
        <v>4.8571653352518465E-2</v>
      </c>
      <c r="X2242">
        <v>7.2729504807148423E-3</v>
      </c>
      <c r="Y2242">
        <v>2.1357329616227129E-3</v>
      </c>
    </row>
    <row r="2243" spans="1:25" x14ac:dyDescent="0.25">
      <c r="A2243" s="1096"/>
      <c r="B2243" s="1455">
        <v>1993</v>
      </c>
      <c r="C2243" s="1100">
        <v>0.9885135957928638</v>
      </c>
      <c r="D2243" s="1100">
        <v>0.96979848504750987</v>
      </c>
      <c r="E2243" s="1100">
        <v>1.0085973001491193</v>
      </c>
      <c r="F2243" s="1100">
        <v>0.99875137393056823</v>
      </c>
      <c r="G2243" s="1100">
        <v>1.0012181688274633</v>
      </c>
      <c r="H2243" s="1100">
        <v>1.0238469019874739</v>
      </c>
      <c r="I2243" s="1100">
        <v>0.99619913683829819</v>
      </c>
      <c r="K2243">
        <v>1.157207272309257</v>
      </c>
      <c r="L2243">
        <v>0</v>
      </c>
      <c r="M2243">
        <v>8.2477863667531162E-4</v>
      </c>
      <c r="N2243">
        <v>7.7898151448235545E-2</v>
      </c>
      <c r="O2243">
        <v>1.0601620284033719E-2</v>
      </c>
      <c r="P2243">
        <v>1.3639480439563522E-2</v>
      </c>
      <c r="Q2243">
        <v>4.643421802756866E-4</v>
      </c>
      <c r="R2243">
        <v>8.2299450065758143E-4</v>
      </c>
      <c r="S2243">
        <v>7.5598412804443085E-2</v>
      </c>
      <c r="T2243">
        <v>0.82603246122720753</v>
      </c>
      <c r="U2243">
        <v>0</v>
      </c>
      <c r="V2243">
        <v>9.2437070549280465E-2</v>
      </c>
      <c r="W2243">
        <v>5.0913851374867862E-2</v>
      </c>
      <c r="X2243">
        <v>7.383746406641409E-3</v>
      </c>
      <c r="Y2243">
        <v>2.2399197307257082E-3</v>
      </c>
    </row>
    <row r="2244" spans="1:25" x14ac:dyDescent="0.25">
      <c r="A2244" s="1096"/>
      <c r="B2244" s="1455">
        <v>1994</v>
      </c>
      <c r="C2244" s="1100">
        <v>0.99223160357075169</v>
      </c>
      <c r="D2244" s="1100">
        <v>0.98472060702302511</v>
      </c>
      <c r="E2244" s="1100">
        <v>0.97706415783612899</v>
      </c>
      <c r="F2244" s="1100">
        <v>0.99087649281781864</v>
      </c>
      <c r="G2244" s="1100">
        <v>1.0333402124910382</v>
      </c>
      <c r="H2244" s="1100">
        <v>0.98627611045559127</v>
      </c>
      <c r="I2244" s="1100">
        <v>1.0070090025614005</v>
      </c>
      <c r="K2244">
        <v>1.1425924513553738</v>
      </c>
      <c r="L2244">
        <v>0</v>
      </c>
      <c r="M2244">
        <v>8.3983280200268073E-4</v>
      </c>
      <c r="N2244">
        <v>7.2102504687627383E-2</v>
      </c>
      <c r="O2244">
        <v>1.0487126975764437E-2</v>
      </c>
      <c r="P2244">
        <v>1.3255388776804666E-2</v>
      </c>
      <c r="Q2244">
        <v>4.4494033378558972E-4</v>
      </c>
      <c r="R2244">
        <v>8.3794689663194458E-4</v>
      </c>
      <c r="S2244">
        <v>7.3940324835616231E-2</v>
      </c>
      <c r="T2244">
        <v>0.82159526931176285</v>
      </c>
      <c r="U2244">
        <v>0</v>
      </c>
      <c r="V2244">
        <v>9.3712315422703932E-2</v>
      </c>
      <c r="W2244">
        <v>4.8022527114596168E-2</v>
      </c>
      <c r="X2244">
        <v>6.7533245785715186E-3</v>
      </c>
      <c r="Y2244">
        <v>2.2806152235119157E-3</v>
      </c>
    </row>
    <row r="2245" spans="1:25" x14ac:dyDescent="0.25">
      <c r="A2245" s="1096"/>
      <c r="B2245" s="1455">
        <v>1995</v>
      </c>
      <c r="C2245" s="1100">
        <v>0.98065835765939813</v>
      </c>
      <c r="D2245" s="1100">
        <v>1.0300807865739872</v>
      </c>
      <c r="E2245" s="1100">
        <v>0.98043357824117305</v>
      </c>
      <c r="F2245" s="1100">
        <v>1.0149503185048225</v>
      </c>
      <c r="G2245" s="1100">
        <v>0.99274266497555463</v>
      </c>
      <c r="H2245" s="1100">
        <v>1.0029301686454197</v>
      </c>
      <c r="I2245" s="1100">
        <v>0.98061396082111962</v>
      </c>
      <c r="K2245">
        <v>1.1606817608394822</v>
      </c>
      <c r="L2245">
        <v>0</v>
      </c>
      <c r="M2245">
        <v>8.4277531099892814E-4</v>
      </c>
      <c r="N2245">
        <v>7.3099342672307388E-2</v>
      </c>
      <c r="O2245">
        <v>1.0422566980878158E-2</v>
      </c>
      <c r="P2245">
        <v>1.3507094087067935E-2</v>
      </c>
      <c r="Q2245">
        <v>4.4371927741025685E-4</v>
      </c>
      <c r="R2245">
        <v>8.4091422394929293E-4</v>
      </c>
      <c r="S2245">
        <v>7.1858108721116268E-2</v>
      </c>
      <c r="T2245">
        <v>0.84132756679846177</v>
      </c>
      <c r="U2245">
        <v>0</v>
      </c>
      <c r="V2245">
        <v>9.2271174515332413E-2</v>
      </c>
      <c r="W2245">
        <v>4.858740073108192E-2</v>
      </c>
      <c r="X2245">
        <v>6.877956832583171E-3</v>
      </c>
      <c r="Y2245">
        <v>2.2886913102905513E-3</v>
      </c>
    </row>
    <row r="2246" spans="1:25" x14ac:dyDescent="0.25">
      <c r="A2246" s="1096"/>
      <c r="B2246" s="1455">
        <v>1996</v>
      </c>
      <c r="C2246" s="1100">
        <v>0.99031275127610396</v>
      </c>
      <c r="D2246" s="1100">
        <v>0.98701262605520579</v>
      </c>
      <c r="E2246" s="1100">
        <v>0.97729636557147026</v>
      </c>
      <c r="F2246" s="1100">
        <v>0.98357471401647012</v>
      </c>
      <c r="G2246" s="1100">
        <v>1.0181497863665507</v>
      </c>
      <c r="H2246" s="1100">
        <v>1.0013061262652143</v>
      </c>
      <c r="I2246" s="1100">
        <v>0.97966338013535659</v>
      </c>
      <c r="K2246">
        <v>1.1364670934221144</v>
      </c>
      <c r="L2246">
        <v>0</v>
      </c>
      <c r="M2246">
        <v>8.5307962548315309E-4</v>
      </c>
      <c r="N2246">
        <v>7.329375125707592E-2</v>
      </c>
      <c r="O2246">
        <v>1.0497757059838053E-2</v>
      </c>
      <c r="P2246">
        <v>1.3150279021754148E-2</v>
      </c>
      <c r="Q2246">
        <v>4.4549663620835871E-4</v>
      </c>
      <c r="R2246">
        <v>8.5119272813469421E-4</v>
      </c>
      <c r="S2246">
        <v>7.2593775391605941E-2</v>
      </c>
      <c r="T2246">
        <v>0.81552563613209683</v>
      </c>
      <c r="U2246">
        <v>0</v>
      </c>
      <c r="V2246">
        <v>9.3111054044297009E-2</v>
      </c>
      <c r="W2246">
        <v>4.8809075212594262E-2</v>
      </c>
      <c r="X2246">
        <v>6.7254895536176052E-3</v>
      </c>
      <c r="Y2246">
        <v>2.3166660103752196E-3</v>
      </c>
    </row>
    <row r="2247" spans="1:25" x14ac:dyDescent="0.25">
      <c r="A2247" s="1096"/>
      <c r="B2247" s="1455">
        <v>1997</v>
      </c>
      <c r="C2247" s="1100">
        <v>0.976397412599874</v>
      </c>
      <c r="D2247" s="1100">
        <v>1.0233074979251593</v>
      </c>
      <c r="E2247" s="1100">
        <v>0.99223494437860738</v>
      </c>
      <c r="F2247" s="1100">
        <v>1.0002458365832463</v>
      </c>
      <c r="G2247" s="1100">
        <v>1.0223280177172773</v>
      </c>
      <c r="H2247" s="1100">
        <v>0.995089557005161</v>
      </c>
      <c r="I2247" s="1100">
        <v>1.0363155304494223</v>
      </c>
      <c r="K2247">
        <v>1.1545982824688446</v>
      </c>
      <c r="L2247">
        <v>0</v>
      </c>
      <c r="M2247">
        <v>8.2173507472881448E-4</v>
      </c>
      <c r="N2247">
        <v>7.3862842494319389E-2</v>
      </c>
      <c r="O2247">
        <v>1.0499622052434671E-2</v>
      </c>
      <c r="P2247">
        <v>1.3530020323571769E-2</v>
      </c>
      <c r="Q2247">
        <v>4.5237467200726929E-4</v>
      </c>
      <c r="R2247">
        <v>8.1990615251836688E-4</v>
      </c>
      <c r="S2247">
        <v>7.6208657235381214E-2</v>
      </c>
      <c r="T2247">
        <v>0.82835179030286377</v>
      </c>
      <c r="U2247">
        <v>0</v>
      </c>
      <c r="V2247">
        <v>9.3648246687921974E-2</v>
      </c>
      <c r="W2247">
        <v>4.8748014342069497E-2</v>
      </c>
      <c r="X2247">
        <v>7.0670290153223873E-3</v>
      </c>
      <c r="Y2247">
        <v>2.2315142651644568E-3</v>
      </c>
    </row>
    <row r="2248" spans="1:25" x14ac:dyDescent="0.25">
      <c r="A2248" s="1096"/>
      <c r="B2248" s="1455">
        <v>1998</v>
      </c>
      <c r="C2248" s="1100">
        <v>1.0106778943853818</v>
      </c>
      <c r="D2248" s="1100">
        <v>1.0065148386621707</v>
      </c>
      <c r="E2248" s="1100">
        <v>0.99525541787019378</v>
      </c>
      <c r="F2248" s="1100">
        <v>1.0252806948077999</v>
      </c>
      <c r="G2248" s="1100">
        <v>0.98082125496164763</v>
      </c>
      <c r="H2248" s="1100">
        <v>1.0352937406608367</v>
      </c>
      <c r="I2248" s="1100">
        <v>1.024529699077805</v>
      </c>
      <c r="K2248">
        <v>1.1731250326973583</v>
      </c>
      <c r="L2248">
        <v>0</v>
      </c>
      <c r="M2248">
        <v>8.2623410193655004E-4</v>
      </c>
      <c r="N2248">
        <v>7.4954878272086939E-2</v>
      </c>
      <c r="O2248">
        <v>1.0211824955841295E-2</v>
      </c>
      <c r="P2248">
        <v>1.3788170996107994E-2</v>
      </c>
      <c r="Q2248">
        <v>4.4131747254548515E-4</v>
      </c>
      <c r="R2248">
        <v>8.2446657880689666E-4</v>
      </c>
      <c r="S2248">
        <v>7.5064453774238454E-2</v>
      </c>
      <c r="T2248">
        <v>0.84887871078200039</v>
      </c>
      <c r="U2248">
        <v>0</v>
      </c>
      <c r="V2248">
        <v>9.1013143865857654E-2</v>
      </c>
      <c r="W2248">
        <v>4.9379570403405605E-2</v>
      </c>
      <c r="X2248">
        <v>7.1508034562254297E-3</v>
      </c>
      <c r="Y2248">
        <v>2.2439262421777126E-3</v>
      </c>
    </row>
    <row r="2249" spans="1:25" x14ac:dyDescent="0.25">
      <c r="A2249" s="1096"/>
      <c r="B2249" s="1455">
        <v>1999</v>
      </c>
      <c r="C2249" s="1100">
        <v>0.9847766908211244</v>
      </c>
      <c r="D2249" s="1100">
        <v>0.9632535853358386</v>
      </c>
      <c r="E2249" s="1100">
        <v>1.013264507281376</v>
      </c>
      <c r="F2249" s="1100">
        <v>1.0064966407928091</v>
      </c>
      <c r="G2249" s="1100">
        <v>1.0285192142172475</v>
      </c>
      <c r="H2249" s="1100">
        <v>0.96974263006230943</v>
      </c>
      <c r="I2249" s="1100">
        <v>0.99384388114038624</v>
      </c>
      <c r="K2249">
        <v>1.1572337731586873</v>
      </c>
      <c r="L2249">
        <v>0</v>
      </c>
      <c r="M2249">
        <v>7.7869703696042633E-4</v>
      </c>
      <c r="N2249">
        <v>7.4580391043392702E-2</v>
      </c>
      <c r="O2249">
        <v>1.0672291216796161E-2</v>
      </c>
      <c r="P2249">
        <v>1.3762069683036319E-2</v>
      </c>
      <c r="Q2249">
        <v>4.6962231901384941E-4</v>
      </c>
      <c r="R2249">
        <v>7.7691860353471605E-4</v>
      </c>
      <c r="S2249">
        <v>7.3719499529399352E-2</v>
      </c>
      <c r="T2249">
        <v>0.83212896649694024</v>
      </c>
      <c r="U2249">
        <v>0</v>
      </c>
      <c r="V2249">
        <v>9.3699958080057127E-2</v>
      </c>
      <c r="W2249">
        <v>4.8611507661832483E-2</v>
      </c>
      <c r="X2249">
        <v>7.4767292339718832E-3</v>
      </c>
      <c r="Y2249">
        <v>2.1145163276726727E-3</v>
      </c>
    </row>
    <row r="2250" spans="1:25" x14ac:dyDescent="0.25">
      <c r="A2250" s="1096"/>
      <c r="B2250" s="1455">
        <v>2000</v>
      </c>
      <c r="C2250" s="1100">
        <v>1.0010506206021295</v>
      </c>
      <c r="D2250" s="1100">
        <v>1.0271367955606447</v>
      </c>
      <c r="E2250" s="1100">
        <v>1.0103502980722399</v>
      </c>
      <c r="F2250" s="1100">
        <v>0.99751122240659251</v>
      </c>
      <c r="G2250" s="1100">
        <v>1.0311602748202895</v>
      </c>
      <c r="H2250" s="1100">
        <v>0.98910070929888694</v>
      </c>
      <c r="I2250" s="1100">
        <v>1.0399165305572391</v>
      </c>
      <c r="K2250">
        <v>1.1464326943665095</v>
      </c>
      <c r="L2250">
        <v>0</v>
      </c>
      <c r="M2250">
        <v>7.6614200896738276E-4</v>
      </c>
      <c r="N2250">
        <v>7.2738518934658852E-2</v>
      </c>
      <c r="O2250">
        <v>1.0231616261294964E-2</v>
      </c>
      <c r="P2250">
        <v>1.3635832463744599E-2</v>
      </c>
      <c r="Q2250">
        <v>4.4892252609019618E-4</v>
      </c>
      <c r="R2250">
        <v>7.6442649467455632E-4</v>
      </c>
      <c r="S2250">
        <v>7.421865271286425E-2</v>
      </c>
      <c r="T2250">
        <v>0.82489154386357921</v>
      </c>
      <c r="U2250">
        <v>0</v>
      </c>
      <c r="V2250">
        <v>9.3403238704851149E-2</v>
      </c>
      <c r="W2250">
        <v>4.749240204999039E-2</v>
      </c>
      <c r="X2250">
        <v>7.2931654383507401E-3</v>
      </c>
      <c r="Y2250">
        <v>2.0805169253778977E-3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F32" zoomScale="85" zoomScaleNormal="85" workbookViewId="0">
      <selection activeCell="Q65" sqref="Q65:Q113"/>
    </sheetView>
  </sheetViews>
  <sheetFormatPr defaultColWidth="11" defaultRowHeight="12.5" x14ac:dyDescent="0.25"/>
  <cols>
    <col min="1" max="1" width="27.26953125" style="53" customWidth="1"/>
    <col min="2" max="2" width="28.7265625" style="53" customWidth="1"/>
    <col min="3" max="3" width="25.26953125" style="53" customWidth="1"/>
    <col min="4" max="4" width="18.7265625" style="53" customWidth="1"/>
    <col min="5" max="5" width="49.726562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6.7265625" style="53" customWidth="1"/>
    <col min="30" max="30" width="14.81640625" style="53" customWidth="1"/>
    <col min="31" max="31" width="15.453125" style="53" customWidth="1"/>
    <col min="32" max="32" width="11" style="53"/>
    <col min="33" max="33" width="14.81640625" style="53" customWidth="1"/>
    <col min="34" max="16384" width="11" style="53"/>
  </cols>
  <sheetData>
    <row r="1" spans="1:23" ht="15" customHeight="1" thickBot="1" x14ac:dyDescent="0.3">
      <c r="D1" s="41"/>
    </row>
    <row r="2" spans="1:23" ht="15" customHeight="1" thickTop="1" x14ac:dyDescent="0.3">
      <c r="A2" s="590" t="s">
        <v>493</v>
      </c>
      <c r="B2" s="584"/>
      <c r="C2" s="585"/>
      <c r="D2" s="41"/>
    </row>
    <row r="3" spans="1:23" ht="15" customHeight="1" x14ac:dyDescent="0.25">
      <c r="A3" s="591" t="s">
        <v>494</v>
      </c>
      <c r="B3" s="586"/>
      <c r="C3" s="587"/>
      <c r="E3" s="148"/>
      <c r="F3" s="40"/>
      <c r="G3" s="41"/>
    </row>
    <row r="4" spans="1:23" ht="30.75" customHeight="1" x14ac:dyDescent="0.25">
      <c r="A4" s="591" t="s">
        <v>495</v>
      </c>
      <c r="B4" s="586"/>
      <c r="C4" s="587"/>
      <c r="T4" s="151"/>
      <c r="U4" s="134"/>
      <c r="V4" s="134"/>
      <c r="W4" s="134"/>
    </row>
    <row r="5" spans="1:23" ht="26.25" customHeight="1" x14ac:dyDescent="0.25">
      <c r="A5" s="591" t="s">
        <v>79</v>
      </c>
      <c r="B5" s="586"/>
      <c r="C5" s="587"/>
      <c r="T5" s="151"/>
      <c r="U5" s="134"/>
      <c r="V5" s="134"/>
      <c r="W5" s="134"/>
    </row>
    <row r="6" spans="1:23" ht="15" customHeight="1" thickBot="1" x14ac:dyDescent="0.3">
      <c r="A6" s="592" t="s">
        <v>496</v>
      </c>
      <c r="B6" s="588"/>
      <c r="C6" s="589"/>
      <c r="T6" s="151"/>
      <c r="U6" s="134"/>
      <c r="V6" s="134"/>
      <c r="W6" s="134"/>
    </row>
    <row r="7" spans="1:23" ht="15" customHeight="1" thickTop="1" x14ac:dyDescent="0.25">
      <c r="T7" s="151"/>
      <c r="U7" s="134"/>
      <c r="V7" s="134"/>
      <c r="W7" s="134"/>
    </row>
    <row r="8" spans="1:23" ht="15" customHeight="1" x14ac:dyDescent="0.25">
      <c r="T8" s="151"/>
      <c r="U8" s="134"/>
      <c r="V8" s="134"/>
      <c r="W8" s="134"/>
    </row>
    <row r="9" spans="1:23" ht="15" customHeight="1" x14ac:dyDescent="0.25">
      <c r="T9" s="151"/>
      <c r="U9" s="134"/>
      <c r="V9" s="134"/>
      <c r="W9" s="134"/>
    </row>
    <row r="10" spans="1:23" ht="15" customHeight="1" x14ac:dyDescent="0.25">
      <c r="T10" s="151"/>
      <c r="U10" s="134"/>
      <c r="V10" s="134"/>
      <c r="W10" s="134"/>
    </row>
    <row r="11" spans="1:23" ht="15" customHeight="1" x14ac:dyDescent="0.25">
      <c r="T11" s="151"/>
      <c r="U11" s="134"/>
      <c r="V11" s="134"/>
      <c r="W11" s="134"/>
    </row>
    <row r="12" spans="1:23" ht="29.25" customHeight="1" x14ac:dyDescent="0.25">
      <c r="T12" s="151"/>
      <c r="U12" s="134"/>
      <c r="V12" s="134"/>
      <c r="W12" s="134"/>
    </row>
    <row r="13" spans="1:23" ht="15" customHeight="1" x14ac:dyDescent="0.35">
      <c r="A13" s="137"/>
      <c r="B13" s="147"/>
      <c r="C13" s="147"/>
      <c r="D13" s="147"/>
      <c r="E13" s="147"/>
      <c r="F13" s="134"/>
      <c r="G13" s="40"/>
      <c r="H13" s="41"/>
    </row>
    <row r="14" spans="1:23" ht="15" customHeight="1" thickBot="1" x14ac:dyDescent="0.45">
      <c r="A14" s="133"/>
    </row>
    <row r="15" spans="1:23" ht="29.25" customHeight="1" thickTop="1" thickBot="1" x14ac:dyDescent="0.4">
      <c r="A15" s="155" t="s">
        <v>89</v>
      </c>
      <c r="B15" s="150"/>
      <c r="D15" s="1642" t="s">
        <v>65</v>
      </c>
      <c r="E15" s="1643"/>
    </row>
    <row r="16" spans="1:23" ht="39.5" thickTop="1" x14ac:dyDescent="0.3">
      <c r="A16" s="156" t="s">
        <v>90</v>
      </c>
      <c r="B16" s="157"/>
      <c r="D16" s="317" t="str">
        <f>"Hydrogen Cost (Year "&amp;TEXT(ref_year,"0")&amp;" Real $/kg)"</f>
        <v>Hydrogen Cost (Year 2016 Real $/kg)</v>
      </c>
      <c r="E16" s="1214">
        <f ca="1">H2_price_nominal/INFLATION_FACTOR</f>
        <v>1.148340344389611</v>
      </c>
    </row>
    <row r="17" spans="1:10" ht="37.5" x14ac:dyDescent="0.25">
      <c r="A17" s="158" t="s">
        <v>91</v>
      </c>
      <c r="B17" s="159">
        <f ca="1">output_kgyear</f>
        <v>124628629.5</v>
      </c>
      <c r="D17" s="138" t="s">
        <v>935</v>
      </c>
      <c r="E17" s="1085">
        <f ca="1">+SUM(X57:AB57)/AC57*(1+inflation_rate)^construct</f>
        <v>1.1269286991065859</v>
      </c>
    </row>
    <row r="18" spans="1:10" ht="25" x14ac:dyDescent="0.25">
      <c r="A18" s="158" t="s">
        <v>92</v>
      </c>
      <c r="B18" s="159">
        <f ca="1">B17*H2_LHV_MJ_p_kg/1000/mmBTU_to_GJ</f>
        <v>14200769.412962679</v>
      </c>
      <c r="D18" s="139" t="s">
        <v>983</v>
      </c>
      <c r="E18" s="140">
        <f ca="1">((E20+1)/(1+B30))-1</f>
        <v>8.0000000000002292E-2</v>
      </c>
    </row>
    <row r="19" spans="1:10" ht="28.5" customHeight="1" x14ac:dyDescent="0.3">
      <c r="A19" s="158" t="s">
        <v>93</v>
      </c>
      <c r="B19" s="159">
        <f ca="1">B17*H2_LHV_MJ_p_kg</f>
        <v>14981811730.675625</v>
      </c>
      <c r="C19" s="136"/>
      <c r="D19" s="139" t="s">
        <v>991</v>
      </c>
      <c r="E19" s="140">
        <f ca="1">((E21+1)/(1+B30))-1</f>
        <v>9.6649079526591741E-2</v>
      </c>
    </row>
    <row r="20" spans="1:10" ht="15" customHeight="1" x14ac:dyDescent="0.25">
      <c r="A20" s="160" t="s">
        <v>94</v>
      </c>
      <c r="B20" s="159">
        <f ca="1">design_cap</f>
        <v>379387</v>
      </c>
      <c r="D20" s="141" t="s">
        <v>982</v>
      </c>
      <c r="E20" s="142">
        <f ca="1">IRR(AA65:AA113)</f>
        <v>0.10052000000000216</v>
      </c>
    </row>
    <row r="21" spans="1:10" ht="15" customHeight="1" x14ac:dyDescent="0.25">
      <c r="A21" s="160" t="s">
        <v>95</v>
      </c>
      <c r="B21" s="159">
        <f ca="1">B20*365</f>
        <v>138476255</v>
      </c>
      <c r="D21" s="141" t="s">
        <v>990</v>
      </c>
      <c r="E21" s="142">
        <f ca="1">IRR(AC65:AC113)</f>
        <v>0.11748541203759677</v>
      </c>
    </row>
    <row r="22" spans="1:10" ht="15" customHeight="1" x14ac:dyDescent="0.25">
      <c r="A22" s="161" t="s">
        <v>96</v>
      </c>
      <c r="B22" s="162">
        <f ca="1">cap_factor</f>
        <v>0.9</v>
      </c>
      <c r="D22" s="144" t="s">
        <v>66</v>
      </c>
      <c r="E22" s="145">
        <f ca="1">(real_irr*(1+real_irr)^anal_period)/(((1+real_irr)^anal_period)-1)</f>
        <v>8.3860161500585326E-2</v>
      </c>
    </row>
    <row r="23" spans="1:10" ht="15" customHeight="1" x14ac:dyDescent="0.25">
      <c r="A23" s="160"/>
      <c r="B23" s="163"/>
      <c r="D23" s="144" t="s">
        <v>76</v>
      </c>
      <c r="E23" s="145">
        <f ca="1">(nominal_irr*(1+nominal_irr)^anal_period)/(((1+nominal_irr)^anal_period)-1)</f>
        <v>0.10274768859314053</v>
      </c>
    </row>
    <row r="24" spans="1:10" ht="24.75" customHeight="1" x14ac:dyDescent="0.3">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5">
      <c r="A25" s="139" t="s">
        <v>98</v>
      </c>
      <c r="B25" s="164">
        <f>startup_year</f>
        <v>2015</v>
      </c>
      <c r="D25" s="144" t="s">
        <v>78</v>
      </c>
      <c r="E25" s="145">
        <f ca="1">(E23*(1-total_tax_rate*INDEX(Depreciation!B12:H37,MATCH("NPV - Nominal IRR",Depreciation!B12:B37,0),MATCH(depr_length,recovery_period,0))))/(1-total_tax_rate)</f>
        <v>0.12265813940348715</v>
      </c>
    </row>
    <row r="26" spans="1:10" ht="15" customHeight="1" thickBot="1" x14ac:dyDescent="0.3">
      <c r="A26" s="160" t="s">
        <v>99</v>
      </c>
      <c r="B26" s="154">
        <f ca="1">real_irr</f>
        <v>0.08</v>
      </c>
      <c r="C26" s="165"/>
      <c r="D26" s="146" t="s">
        <v>249</v>
      </c>
      <c r="E26" s="1084">
        <f ca="1">NPV(nominal_irr,AA65:AA113)</f>
        <v>1.0004871459302417E-6</v>
      </c>
    </row>
    <row r="27" spans="1:10" ht="15" customHeight="1" thickTop="1" x14ac:dyDescent="0.25">
      <c r="A27" s="139" t="s">
        <v>988</v>
      </c>
      <c r="B27" s="154">
        <f ca="1">((1+B26)*(1+B30))-1</f>
        <v>0.10051999999999994</v>
      </c>
      <c r="C27" s="165"/>
      <c r="D27" s="166"/>
    </row>
    <row r="28" spans="1:10" ht="15" customHeight="1" x14ac:dyDescent="0.25">
      <c r="A28" s="160" t="s">
        <v>100</v>
      </c>
      <c r="B28" s="164">
        <f>anal_period</f>
        <v>40</v>
      </c>
      <c r="C28" s="165"/>
      <c r="D28" s="166"/>
      <c r="F28" s="166"/>
    </row>
    <row r="29" spans="1:10" ht="15" customHeight="1" x14ac:dyDescent="0.25">
      <c r="A29" s="160" t="s">
        <v>101</v>
      </c>
      <c r="B29" s="164">
        <f>plant_life</f>
        <v>40</v>
      </c>
      <c r="C29" s="165"/>
      <c r="D29" s="166"/>
    </row>
    <row r="30" spans="1:10" ht="15" customHeight="1" x14ac:dyDescent="0.25">
      <c r="A30" s="160" t="s">
        <v>102</v>
      </c>
      <c r="B30" s="154">
        <f>inflation_rate</f>
        <v>1.9E-2</v>
      </c>
      <c r="F30" s="1083"/>
      <c r="G30" s="1082"/>
      <c r="H30" s="1082"/>
      <c r="I30" s="1082"/>
      <c r="J30" s="1082"/>
    </row>
    <row r="31" spans="1:10" ht="15" customHeight="1" x14ac:dyDescent="0.25">
      <c r="A31" s="160" t="s">
        <v>103</v>
      </c>
      <c r="B31" s="167">
        <f>100%-equity</f>
        <v>0.6</v>
      </c>
    </row>
    <row r="32" spans="1:10" ht="15" customHeight="1" x14ac:dyDescent="0.25">
      <c r="A32" s="139" t="s">
        <v>104</v>
      </c>
      <c r="B32" s="168">
        <f>equity</f>
        <v>0.4</v>
      </c>
    </row>
    <row r="33" spans="1:12" ht="15" customHeight="1" x14ac:dyDescent="0.25">
      <c r="A33" s="139" t="s">
        <v>105</v>
      </c>
      <c r="B33" s="154">
        <f>total_tax_rate</f>
        <v>0.25739999999999996</v>
      </c>
    </row>
    <row r="34" spans="1:12" ht="15" customHeight="1" x14ac:dyDescent="0.25">
      <c r="A34" s="139"/>
      <c r="B34" s="169"/>
    </row>
    <row r="35" spans="1:12" ht="28.5" customHeight="1" x14ac:dyDescent="0.3">
      <c r="A35" s="170" t="s">
        <v>106</v>
      </c>
      <c r="B35" s="171"/>
    </row>
    <row r="36" spans="1:12" ht="15" customHeight="1" x14ac:dyDescent="0.25">
      <c r="A36" s="160" t="s">
        <v>107</v>
      </c>
      <c r="B36" s="164">
        <f>debt_period</f>
        <v>0</v>
      </c>
    </row>
    <row r="37" spans="1:12" ht="15" customHeight="1" x14ac:dyDescent="0.25">
      <c r="A37" s="160" t="s">
        <v>108</v>
      </c>
      <c r="B37" s="172">
        <f>debt_interest</f>
        <v>3.6999999999999998E-2</v>
      </c>
      <c r="K37" s="1082"/>
    </row>
    <row r="38" spans="1:12" ht="15" customHeight="1" x14ac:dyDescent="0.25">
      <c r="A38" s="139"/>
      <c r="B38" s="157"/>
      <c r="K38" s="1082"/>
    </row>
    <row r="39" spans="1:12" ht="28.5" customHeight="1" x14ac:dyDescent="0.3">
      <c r="A39" s="170" t="s">
        <v>109</v>
      </c>
      <c r="B39" s="157"/>
      <c r="F39" s="1082"/>
      <c r="G39" s="1082"/>
      <c r="H39" s="1082"/>
      <c r="I39" s="1082"/>
      <c r="J39" s="1082"/>
      <c r="K39" s="1082"/>
      <c r="L39" s="1082"/>
    </row>
    <row r="40" spans="1:12" ht="15" customHeight="1" x14ac:dyDescent="0.25">
      <c r="A40" s="139" t="s">
        <v>110</v>
      </c>
      <c r="B40" s="164">
        <f>construct</f>
        <v>3</v>
      </c>
      <c r="G40" s="1082"/>
      <c r="H40" s="1082"/>
    </row>
    <row r="41" spans="1:12" ht="15" customHeight="1" x14ac:dyDescent="0.25">
      <c r="A41" s="139" t="s">
        <v>111</v>
      </c>
      <c r="B41" s="162">
        <f>start_time</f>
        <v>1</v>
      </c>
    </row>
    <row r="42" spans="1:12" ht="15" customHeight="1" x14ac:dyDescent="0.25">
      <c r="A42" s="158" t="s">
        <v>112</v>
      </c>
      <c r="B42" s="167">
        <f>percnt_revs</f>
        <v>0.5</v>
      </c>
    </row>
    <row r="43" spans="1:12" ht="15" customHeight="1" x14ac:dyDescent="0.25">
      <c r="A43" s="158" t="s">
        <v>113</v>
      </c>
      <c r="B43" s="167">
        <f>percnt_var</f>
        <v>0.75</v>
      </c>
    </row>
    <row r="44" spans="1:12" ht="15" customHeight="1" x14ac:dyDescent="0.25">
      <c r="A44" s="158" t="s">
        <v>114</v>
      </c>
      <c r="B44" s="167">
        <f>percnt_fixed</f>
        <v>0.75</v>
      </c>
    </row>
    <row r="45" spans="1:12" ht="15" customHeight="1" x14ac:dyDescent="0.25">
      <c r="A45" s="139"/>
      <c r="B45" s="157"/>
    </row>
    <row r="46" spans="1:12" ht="28.5" customHeight="1" x14ac:dyDescent="0.3">
      <c r="A46" s="170" t="s">
        <v>115</v>
      </c>
      <c r="B46" s="157"/>
      <c r="F46" s="173"/>
    </row>
    <row r="47" spans="1:12" ht="15" customHeight="1" x14ac:dyDescent="0.25">
      <c r="A47" s="139" t="s">
        <v>389</v>
      </c>
      <c r="B47" s="174" t="str">
        <f>depr_type</f>
        <v>MACRS</v>
      </c>
      <c r="F47" s="173"/>
    </row>
    <row r="48" spans="1:12" ht="15" customHeight="1" x14ac:dyDescent="0.25">
      <c r="A48" s="139" t="s">
        <v>53</v>
      </c>
      <c r="B48" s="164">
        <f>depr_length</f>
        <v>20</v>
      </c>
      <c r="F48" s="173"/>
    </row>
    <row r="49" spans="1:32" ht="15" customHeight="1" x14ac:dyDescent="0.25">
      <c r="A49" s="139"/>
      <c r="B49" s="157"/>
      <c r="F49" s="173"/>
    </row>
    <row r="50" spans="1:32" ht="28.5" customHeight="1" x14ac:dyDescent="0.3">
      <c r="A50" s="170" t="s">
        <v>116</v>
      </c>
      <c r="B50" s="157"/>
    </row>
    <row r="51" spans="1:32" ht="30.75" customHeight="1" x14ac:dyDescent="0.25">
      <c r="A51" s="138" t="s">
        <v>979</v>
      </c>
      <c r="B51" s="175">
        <f ca="1">(total_cap-non_dep_cap)*INFLATION_FACTOR</f>
        <v>243324494.38709533</v>
      </c>
      <c r="F51" s="173"/>
    </row>
    <row r="52" spans="1:32" ht="30" customHeight="1" thickBot="1" x14ac:dyDescent="0.3">
      <c r="A52" s="138" t="s">
        <v>981</v>
      </c>
      <c r="B52" s="175">
        <f ca="1">non_dep_cap*INFLATION_FACTOR</f>
        <v>540100.1897195722</v>
      </c>
      <c r="F52" s="173"/>
    </row>
    <row r="53" spans="1:32" ht="15" customHeight="1" thickBot="1" x14ac:dyDescent="0.4">
      <c r="A53" s="138" t="s">
        <v>117</v>
      </c>
      <c r="B53" s="175">
        <f ca="1">SUM(B51:B52)</f>
        <v>243864594.57681489</v>
      </c>
      <c r="F53" s="173"/>
      <c r="W53" s="1644" t="s">
        <v>1173</v>
      </c>
      <c r="X53" s="1645"/>
      <c r="Y53" s="1133"/>
      <c r="Z53" s="1133"/>
      <c r="AA53" s="1133"/>
      <c r="AB53" s="1133"/>
      <c r="AC53" s="1134"/>
    </row>
    <row r="54" spans="1:32" ht="15" customHeight="1" thickTop="1" x14ac:dyDescent="0.3">
      <c r="A54" s="138" t="s">
        <v>984</v>
      </c>
      <c r="B54" s="175">
        <f ca="1">decom_percent*depr_cap_infl</f>
        <v>24332449.438709535</v>
      </c>
      <c r="F54" s="173"/>
      <c r="W54" s="1135"/>
      <c r="X54" s="1128" t="s">
        <v>83</v>
      </c>
      <c r="Y54" s="1129" t="s">
        <v>1123</v>
      </c>
      <c r="Z54" s="1129" t="s">
        <v>1124</v>
      </c>
      <c r="AA54" s="1128" t="s">
        <v>1125</v>
      </c>
      <c r="AB54" s="1129" t="s">
        <v>1130</v>
      </c>
      <c r="AC54" s="1136" t="s">
        <v>1126</v>
      </c>
    </row>
    <row r="55" spans="1:32" ht="15" customHeight="1" x14ac:dyDescent="0.25">
      <c r="A55" s="138" t="s">
        <v>993</v>
      </c>
      <c r="B55" s="175">
        <f ca="1">salvage_perct*B53</f>
        <v>24386459.457681492</v>
      </c>
      <c r="F55" s="173"/>
      <c r="W55" s="1137" t="s">
        <v>1121</v>
      </c>
      <c r="X55" s="1130">
        <f ca="1">-SUM(H116:K116)</f>
        <v>111335123.14115946</v>
      </c>
      <c r="Y55" s="1130">
        <f ca="1">-U116</f>
        <v>90389045.243521452</v>
      </c>
      <c r="Z55" s="1130">
        <f ca="1">-Z116</f>
        <v>2470023.4093587599</v>
      </c>
      <c r="AA55" s="1130">
        <f ca="1">-SUM(L116:S116)</f>
        <v>1182419983.2507105</v>
      </c>
      <c r="AB55" s="1130">
        <f ca="1">+AF116</f>
        <v>0</v>
      </c>
      <c r="AC55" s="1138">
        <f ca="1">+AE116</f>
        <v>1224665447.1183949</v>
      </c>
    </row>
    <row r="56" spans="1:32" ht="15" customHeight="1" x14ac:dyDescent="0.25">
      <c r="A56" s="160" t="s">
        <v>985</v>
      </c>
      <c r="B56" s="60">
        <f ca="1">fixed*INFLATION_FACTOR</f>
        <v>8735385.7683115583</v>
      </c>
      <c r="F56" s="173"/>
      <c r="W56" s="1137" t="s">
        <v>1131</v>
      </c>
      <c r="X56" s="1131">
        <v>1</v>
      </c>
      <c r="Y56" s="1131">
        <f>-total_tax_rate</f>
        <v>-0.25739999999999996</v>
      </c>
      <c r="Z56" s="1131">
        <v>1</v>
      </c>
      <c r="AA56" s="1131">
        <f>1-total_tax_rate</f>
        <v>0.74260000000000004</v>
      </c>
      <c r="AB56" s="1131">
        <v>-1</v>
      </c>
      <c r="AC56" s="1139">
        <f>1-total_tax_rate</f>
        <v>0.74260000000000004</v>
      </c>
    </row>
    <row r="57" spans="1:32" ht="15" customHeight="1" x14ac:dyDescent="0.25">
      <c r="A57" s="160" t="s">
        <v>986</v>
      </c>
      <c r="B57" s="60">
        <f ca="1">total_other_raw*INFLATION_FACTOR</f>
        <v>0</v>
      </c>
      <c r="F57" s="173"/>
      <c r="W57" s="1137" t="s">
        <v>1122</v>
      </c>
      <c r="X57" s="1132">
        <f t="shared" ref="X57:Z57" ca="1" si="0">+X55*X56</f>
        <v>111335123.14115946</v>
      </c>
      <c r="Y57" s="1132">
        <f t="shared" ca="1" si="0"/>
        <v>-23266140.245682418</v>
      </c>
      <c r="Z57" s="1132">
        <f t="shared" ca="1" si="0"/>
        <v>2470023.4093587599</v>
      </c>
      <c r="AA57" s="1132">
        <f ca="1">+AA55*AA56</f>
        <v>878065079.56197762</v>
      </c>
      <c r="AB57" s="1132">
        <f ca="1">+AB55*AB56</f>
        <v>0</v>
      </c>
      <c r="AC57" s="1140">
        <f ca="1">+AC55*AC56</f>
        <v>909436561.03012002</v>
      </c>
    </row>
    <row r="58" spans="1:32" ht="45.75" customHeight="1" thickBot="1" x14ac:dyDescent="0.3">
      <c r="A58" s="176" t="s">
        <v>987</v>
      </c>
      <c r="B58" s="62">
        <f ca="1">(var_misc+royalties+operator_profit+CO2_OandMcost+waste_treat+solidwaste_treat)*INFLATION_FACTOR</f>
        <v>2971063.4097371511</v>
      </c>
      <c r="F58" s="173"/>
      <c r="W58" s="1141"/>
      <c r="X58" s="1142"/>
      <c r="Y58" s="1142"/>
      <c r="Z58" s="1142"/>
      <c r="AA58" s="1142"/>
      <c r="AB58" s="1142"/>
      <c r="AC58" s="1143"/>
    </row>
    <row r="59" spans="1:32" ht="15" customHeight="1" thickTop="1" x14ac:dyDescent="0.25">
      <c r="F59" s="173"/>
      <c r="W59" s="1144" t="s">
        <v>1120</v>
      </c>
      <c r="X59" s="1085">
        <f ca="1">+(1+real_irr)*(1+inflation_rate)-1</f>
        <v>0.10051999999999994</v>
      </c>
      <c r="Y59" s="1142"/>
      <c r="Z59" s="1142"/>
      <c r="AA59" s="1142"/>
      <c r="AB59" s="1142"/>
      <c r="AC59" s="1143"/>
    </row>
    <row r="60" spans="1:32" ht="15" customHeight="1" thickBot="1" x14ac:dyDescent="0.3">
      <c r="F60" s="173"/>
      <c r="W60" s="1145" t="str">
        <f>+D16</f>
        <v>Hydrogen Cost (Year 2016 Real $/kg)</v>
      </c>
      <c r="X60" s="1146">
        <f ca="1">+SUM(X57:AB57)/AC57*(1+inflation_rate)^construct/INFLATION_FACTOR</f>
        <v>1.148340344389611</v>
      </c>
      <c r="Y60" s="1147"/>
      <c r="Z60" s="1147"/>
      <c r="AA60" s="1147"/>
      <c r="AB60" s="1147"/>
      <c r="AC60" s="1148"/>
    </row>
    <row r="61" spans="1:32" ht="39.75" customHeight="1" x14ac:dyDescent="0.25">
      <c r="F61" s="173"/>
    </row>
    <row r="62" spans="1:32" ht="17.25" customHeight="1" thickBot="1" x14ac:dyDescent="0.3">
      <c r="F62" s="173"/>
    </row>
    <row r="63" spans="1:32" ht="29.25" customHeight="1" thickTop="1" thickBot="1" x14ac:dyDescent="0.4">
      <c r="A63" s="49" t="s">
        <v>118</v>
      </c>
      <c r="B63" s="177"/>
      <c r="C63" s="177"/>
      <c r="D63" s="177"/>
      <c r="E63" s="177"/>
      <c r="F63" s="177"/>
      <c r="G63" s="177"/>
      <c r="H63" s="1172"/>
      <c r="I63" s="1172"/>
      <c r="J63" s="1172"/>
      <c r="K63" s="1172"/>
      <c r="L63" s="1172"/>
      <c r="M63" s="1172"/>
      <c r="N63" s="1172"/>
      <c r="O63" s="1172"/>
      <c r="P63" s="1172"/>
      <c r="Q63" s="1172"/>
      <c r="R63" s="1172"/>
      <c r="S63" s="1172"/>
      <c r="T63" s="1172"/>
      <c r="U63" s="1172"/>
      <c r="V63" s="1172"/>
      <c r="W63" s="1172"/>
      <c r="X63" s="1172"/>
      <c r="Y63" s="1172"/>
      <c r="Z63" s="1172"/>
      <c r="AA63" s="1172"/>
      <c r="AB63" s="1172"/>
      <c r="AC63" s="1173"/>
    </row>
    <row r="64" spans="1:32" ht="66" thickTop="1" thickBot="1" x14ac:dyDescent="0.35">
      <c r="A64" s="1149" t="s">
        <v>1128</v>
      </c>
      <c r="B64" s="1150" t="s">
        <v>40</v>
      </c>
      <c r="C64" s="1150" t="s">
        <v>56</v>
      </c>
      <c r="D64" s="1150" t="s">
        <v>119</v>
      </c>
      <c r="E64" s="1151" t="s">
        <v>120</v>
      </c>
      <c r="F64" s="1151" t="s">
        <v>1133</v>
      </c>
      <c r="G64" s="1152" t="s">
        <v>121</v>
      </c>
      <c r="H64" s="1174" t="s">
        <v>122</v>
      </c>
      <c r="I64" s="1175" t="s">
        <v>123</v>
      </c>
      <c r="J64" s="1175" t="s">
        <v>1127</v>
      </c>
      <c r="K64" s="1175" t="s">
        <v>135</v>
      </c>
      <c r="L64" s="1175" t="s">
        <v>993</v>
      </c>
      <c r="M64" s="1175" t="s">
        <v>84</v>
      </c>
      <c r="N64" s="1175" t="s">
        <v>136</v>
      </c>
      <c r="O64" s="1175" t="s">
        <v>1132</v>
      </c>
      <c r="P64" s="1175" t="s">
        <v>137</v>
      </c>
      <c r="Q64" s="1175" t="s">
        <v>1134</v>
      </c>
      <c r="R64" s="1175" t="s">
        <v>138</v>
      </c>
      <c r="S64" s="1175" t="s">
        <v>139</v>
      </c>
      <c r="T64" s="1175" t="s">
        <v>140</v>
      </c>
      <c r="U64" s="1175" t="s">
        <v>60</v>
      </c>
      <c r="V64" s="1175" t="s">
        <v>141</v>
      </c>
      <c r="W64" s="1175" t="s">
        <v>142</v>
      </c>
      <c r="X64" s="1175" t="s">
        <v>144</v>
      </c>
      <c r="Y64" s="1175" t="s">
        <v>145</v>
      </c>
      <c r="Z64" s="1175" t="s">
        <v>45</v>
      </c>
      <c r="AA64" s="1176" t="s">
        <v>146</v>
      </c>
      <c r="AB64" s="1176" t="s">
        <v>147</v>
      </c>
      <c r="AC64" s="1154" t="s">
        <v>148</v>
      </c>
      <c r="AD64" s="178"/>
      <c r="AE64" s="1153" t="s">
        <v>1119</v>
      </c>
      <c r="AF64" s="1154" t="s">
        <v>1129</v>
      </c>
    </row>
    <row r="65" spans="1:32" ht="13" thickTop="1" x14ac:dyDescent="0.25">
      <c r="A65" s="179">
        <f>startup_year-construct</f>
        <v>2012</v>
      </c>
      <c r="B65" s="180">
        <v>1</v>
      </c>
      <c r="C65" s="180">
        <f>IF(construct=0,1,-construct)</f>
        <v>-3</v>
      </c>
      <c r="D65" s="180">
        <f t="shared" ref="D65:D96" si="1">IF(C65="","",IF(C65&lt;=plant_life,C65,IF(D64=plant_life,1,D64+1)))</f>
        <v>-3</v>
      </c>
      <c r="E65" s="181">
        <f t="shared" ref="E65:E96" si="2">IF(C65="","",(1+inflation_rate)^(A65-$B$25))</f>
        <v>0.94509931410277337</v>
      </c>
      <c r="F65" s="182">
        <f t="shared" ref="F65:F96" si="3">IF(C65="","",IF(C65&lt;0,0,IF(AND(C65=1,start_time&lt;1),E65*(H2_price_nominal*output_kgyear*start_time*percnt_revs+H2_price_nominal*output_kgyear*(1-start_time)),IF(C65&lt;=start_time,H2_price_nominal*E65*output_kgyear*percnt_revs,H2_price_nominal*output_kgyear*E65))))</f>
        <v>0</v>
      </c>
      <c r="G65" s="1168">
        <f ca="1">-$B$31*depr_cap_infl*E65</f>
        <v>-137979487.64978874</v>
      </c>
      <c r="H65" s="1177">
        <f ca="1">IF(C65&lt;0,-E65*equity*depr_cap_infl*percent_cap1,IF(C65=1,-E65*equity*depr_cap_infl,0))</f>
        <v>-7358906.0079887342</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-510448.31885074545</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-5105241.0430421829</v>
      </c>
      <c r="T65" s="183">
        <f t="shared" ref="T65:T96" ca="1" si="12">IF(C65="","",F65+SUM(L65:S65))</f>
        <v>-5105241.0430421829</v>
      </c>
      <c r="U65" s="183">
        <f>IF(C65="","",IF(C65&lt;-1,0,IF(C65=anal_period,-LOOKUP(C65,depr_yr,depr_cost)-Depreciation!$C$141-Depreciation!$B$166,-LOOKUP(C65,depr_yr,depr_cost))))</f>
        <v>0</v>
      </c>
      <c r="V65" s="183">
        <f t="shared" ref="V65:V96" ca="1" si="13">IF(C65="","",SUM(T65:U65))</f>
        <v>-5105241.0430421829</v>
      </c>
      <c r="W65" s="184">
        <f t="shared" ref="W65:W96" si="14">IF(C65="","",$B$33)</f>
        <v>0.25739999999999996</v>
      </c>
      <c r="X65" s="183">
        <f t="shared" ref="X65:X96" ca="1" si="15">IF(C65="","",tax_credit-(V65*W65 +Upstream_CO2_taxpYear + Proc_CO2_taxpYear))</f>
        <v>1314089.0444790577</v>
      </c>
      <c r="Y65" s="183">
        <f t="shared" ref="Y65:Y96" ca="1" si="16">IF(C65="","",SUM(T65,X65))</f>
        <v>-3791151.9985631253</v>
      </c>
      <c r="Z65" s="183">
        <f>IF(C65="","",IF($B$31=0,"",-'Debt Financing Calculations'!F14))</f>
        <v>0</v>
      </c>
      <c r="AA65" s="183">
        <f t="shared" ref="AA65:AA96" ca="1" si="17">IF(C65="","",SUM(H65,I65,J65,K65,T65,X65,Z65))</f>
        <v>-11660506.325402606</v>
      </c>
      <c r="AB65" s="183">
        <f ca="1">AA65</f>
        <v>-11660506.325402606</v>
      </c>
      <c r="AC65" s="1155">
        <f t="shared" ref="AC65:AC96" ca="1" si="18">IF(C65="","",SUM(H65,I65,J65,K65,T65,Z65))</f>
        <v>-12974595.369881663</v>
      </c>
      <c r="AD65" s="134"/>
      <c r="AE65" s="1159">
        <f t="shared" ref="AE65:AE96" si="19">IF(C65="","",IF(C65&lt;0,0,IF(AND(C65=1,start_time&lt;1),(output_kgyear*start_time*percnt_revs+output_kgyear*(1-start_time)),IF(C65&lt;=start_time,output_kgyear*percnt_revs,output_kgyear))))</f>
        <v>0</v>
      </c>
      <c r="AF65" s="1155">
        <f t="shared" ref="AF65:AF96" si="20">IF(C65="","",tax_credit)</f>
        <v>0</v>
      </c>
    </row>
    <row r="66" spans="1:32" x14ac:dyDescent="0.25">
      <c r="A66" s="58">
        <f t="shared" ref="A66:A113" si="21">IF(B66&lt;&gt;"",A65+1,"")</f>
        <v>2013</v>
      </c>
      <c r="B66" s="185">
        <f>IF(MAX($B$65:B65)&lt;(construct+anal_period),B65+1,"")</f>
        <v>2</v>
      </c>
      <c r="C66" s="185">
        <f t="shared" ref="C66:C113" si="22">IF(B66="","",IF(C65=-1,1,C65+1))</f>
        <v>-2</v>
      </c>
      <c r="D66" s="185">
        <f t="shared" si="1"/>
        <v>-2</v>
      </c>
      <c r="E66" s="186">
        <f t="shared" si="2"/>
        <v>0.96305620107072598</v>
      </c>
      <c r="F66" s="59">
        <f t="shared" si="3"/>
        <v>0</v>
      </c>
      <c r="G66" s="1169"/>
      <c r="H66" s="1178">
        <f ca="1">IF(C66&lt;0,-E66*equity*depr_cap_infl*percent_cap2,0)</f>
        <v>-56240439.166053899</v>
      </c>
      <c r="I66" s="187" t="str">
        <f>IF(OR(C66&lt;0,C66=""),"",-E66*INDEX('Replacement Costs'!$A$16:$H$57,MATCH(C66,'Replacement Costs'!$C$16:$C$57,0),MATCH("Total Yearly Replacement Costs",'Replacement Costs'!$A$16:$H$16,0)))</f>
        <v/>
      </c>
      <c r="J66" s="187">
        <f>IF(AND(C66&gt;=1,C66&lt;anal_period),WorkingCap*SUM(N66:R66)-WorkingCap*SUM(N65:R65),IF(C66&lt;0,0,IF(B66="","",-SUM(J$65:J65))))</f>
        <v>0</v>
      </c>
      <c r="K66" s="187" t="str">
        <f t="shared" si="4"/>
        <v/>
      </c>
      <c r="L66" s="187" t="str">
        <f t="shared" si="5"/>
        <v/>
      </c>
      <c r="M66" s="187" t="str">
        <f t="shared" si="6"/>
        <v/>
      </c>
      <c r="N66" s="187">
        <f t="shared" si="7"/>
        <v>0</v>
      </c>
      <c r="O66" s="187">
        <f t="shared" si="8"/>
        <v>0</v>
      </c>
      <c r="P66" s="187">
        <f t="shared" si="9"/>
        <v>0</v>
      </c>
      <c r="Q66" s="187">
        <f t="shared" si="10"/>
        <v>0</v>
      </c>
      <c r="R66" s="187">
        <f t="shared" si="11"/>
        <v>0</v>
      </c>
      <c r="S66" s="187">
        <f ca="1">IF(B66="","",IF($B$31=0,"",-'Debt Financing Calculations'!E15))</f>
        <v>-5105241.0430421829</v>
      </c>
      <c r="T66" s="187">
        <f t="shared" ca="1" si="12"/>
        <v>-5105241.0430421829</v>
      </c>
      <c r="U66" s="187">
        <f>IF(C66="","",IF(C66&lt;-1,0,IF(C66=anal_period,-LOOKUP(C66,depr_yr,depr_cost)-Depreciation!$C$141-Depreciation!$B$166,-LOOKUP(C66,depr_yr,depr_cost))))</f>
        <v>0</v>
      </c>
      <c r="V66" s="187">
        <f t="shared" ca="1" si="13"/>
        <v>-5105241.0430421829</v>
      </c>
      <c r="W66" s="188">
        <f t="shared" si="14"/>
        <v>0.25739999999999996</v>
      </c>
      <c r="X66" s="187">
        <f t="shared" ca="1" si="15"/>
        <v>1314089.0444790577</v>
      </c>
      <c r="Y66" s="187">
        <f t="shared" ca="1" si="16"/>
        <v>-3791151.9985631253</v>
      </c>
      <c r="Z66" s="187">
        <f>IF(C66="","",IF($B$31=0,"",-'Debt Financing Calculations'!F15))</f>
        <v>0</v>
      </c>
      <c r="AA66" s="187">
        <f t="shared" ca="1" si="17"/>
        <v>-60031591.164617024</v>
      </c>
      <c r="AB66" s="187">
        <f t="shared" ref="AB66:AB113" ca="1" si="23">IF(C66="","",AB65+AA66)</f>
        <v>-71692097.490019634</v>
      </c>
      <c r="AC66" s="1156">
        <f t="shared" ca="1" si="18"/>
        <v>-61345680.209096082</v>
      </c>
      <c r="AD66" s="134"/>
      <c r="AE66" s="1160">
        <f t="shared" si="19"/>
        <v>0</v>
      </c>
      <c r="AF66" s="1156">
        <f t="shared" si="20"/>
        <v>0</v>
      </c>
    </row>
    <row r="67" spans="1:32" x14ac:dyDescent="0.25">
      <c r="A67" s="58">
        <f t="shared" si="21"/>
        <v>2014</v>
      </c>
      <c r="B67" s="185">
        <f>IF(MAX($B$65:B66)&lt;(construct+anal_period),B66+1,"")</f>
        <v>3</v>
      </c>
      <c r="C67" s="185">
        <f t="shared" si="22"/>
        <v>-1</v>
      </c>
      <c r="D67" s="185">
        <f t="shared" si="1"/>
        <v>-1</v>
      </c>
      <c r="E67" s="186">
        <f t="shared" si="2"/>
        <v>0.9813542688910698</v>
      </c>
      <c r="F67" s="59">
        <f t="shared" si="3"/>
        <v>0</v>
      </c>
      <c r="G67" s="1169"/>
      <c r="H67" s="1178">
        <f ca="1">IF(C67&lt;0,-E67*equity*depr_cap_infl*percent_cap3,0)</f>
        <v>-30564804.005444758</v>
      </c>
      <c r="I67" s="187" t="str">
        <f>IF(OR(C67&lt;0,C67=""),"",-E67*INDEX('Replacement Costs'!$A$16:$H$57,MATCH(C67,'Replacement Costs'!$C$16:$C$57,0),MATCH("Total Yearly Replacement Costs",'Replacement Costs'!$A$16:$H$16,0)))</f>
        <v/>
      </c>
      <c r="J67" s="187">
        <f>IF(AND(C67&gt;=1,C67&lt;anal_period),WorkingCap*SUM(N67:R67)-WorkingCap*SUM(N66:R66),IF(C67&lt;0,0,IF(B67="","",-SUM(J$65:J66))))</f>
        <v>0</v>
      </c>
      <c r="K67" s="187" t="str">
        <f t="shared" si="4"/>
        <v/>
      </c>
      <c r="L67" s="187" t="str">
        <f t="shared" si="5"/>
        <v/>
      </c>
      <c r="M67" s="187" t="str">
        <f t="shared" si="6"/>
        <v/>
      </c>
      <c r="N67" s="187">
        <f t="shared" si="7"/>
        <v>0</v>
      </c>
      <c r="O67" s="187">
        <f t="shared" si="8"/>
        <v>0</v>
      </c>
      <c r="P67" s="187">
        <f t="shared" si="9"/>
        <v>0</v>
      </c>
      <c r="Q67" s="187">
        <f t="shared" si="10"/>
        <v>0</v>
      </c>
      <c r="R67" s="187">
        <f t="shared" si="11"/>
        <v>0</v>
      </c>
      <c r="S67" s="187">
        <f ca="1">IF(B67="","",IF($B$31=0,"",-'Debt Financing Calculations'!E16))</f>
        <v>-5105241.0430421829</v>
      </c>
      <c r="T67" s="187">
        <f t="shared" ca="1" si="12"/>
        <v>-5105241.0430421829</v>
      </c>
      <c r="U67" s="187">
        <f>IF(C67="","",IF(C67&lt;-1,0,IF(C67=anal_period,-LOOKUP(C67,depr_yr,depr_cost)-Depreciation!$C$141-Depreciation!$B$166,-LOOKUP(C67,depr_yr,depr_cost))))</f>
        <v>0</v>
      </c>
      <c r="V67" s="187">
        <f t="shared" ca="1" si="13"/>
        <v>-5105241.0430421829</v>
      </c>
      <c r="W67" s="188">
        <f t="shared" si="14"/>
        <v>0.25739999999999996</v>
      </c>
      <c r="X67" s="187">
        <f t="shared" ca="1" si="15"/>
        <v>1314089.0444790577</v>
      </c>
      <c r="Y67" s="187">
        <f t="shared" ca="1" si="16"/>
        <v>-3791151.9985631253</v>
      </c>
      <c r="Z67" s="187">
        <f>IF(C67="","",IF($B$31=0,"",-'Debt Financing Calculations'!F16))</f>
        <v>0</v>
      </c>
      <c r="AA67" s="187">
        <f t="shared" ca="1" si="17"/>
        <v>-34355956.004007883</v>
      </c>
      <c r="AB67" s="187">
        <f t="shared" ca="1" si="23"/>
        <v>-106048053.49402753</v>
      </c>
      <c r="AC67" s="1156">
        <f t="shared" ca="1" si="18"/>
        <v>-35670045.048486941</v>
      </c>
      <c r="AD67" s="134"/>
      <c r="AE67" s="1160">
        <f t="shared" si="19"/>
        <v>0</v>
      </c>
      <c r="AF67" s="1156">
        <f t="shared" si="20"/>
        <v>0</v>
      </c>
    </row>
    <row r="68" spans="1:32" ht="13" x14ac:dyDescent="0.3">
      <c r="A68" s="1090">
        <f t="shared" si="21"/>
        <v>2015</v>
      </c>
      <c r="B68" s="1091">
        <f>IF(MAX($B$65:B67)&lt;(construct+anal_period),B67+1,"")</f>
        <v>4</v>
      </c>
      <c r="C68" s="1091">
        <f t="shared" si="22"/>
        <v>1</v>
      </c>
      <c r="D68" s="1091">
        <f t="shared" si="1"/>
        <v>1</v>
      </c>
      <c r="E68" s="1092">
        <f t="shared" si="2"/>
        <v>1</v>
      </c>
      <c r="F68" s="1093">
        <f t="shared" ca="1" si="3"/>
        <v>70223789.656935841</v>
      </c>
      <c r="G68" s="1170"/>
      <c r="H68" s="1179">
        <f>IF(C68&lt;0,-E68*equity*depr_cap_infl*percent_cap4,0)</f>
        <v>0</v>
      </c>
      <c r="I68" s="1094">
        <f ca="1">IF(OR(C68&lt;0,C68=""),"",-E68*INDEX('Replacement Costs'!$A$16:$H$57,MATCH(C68,'Replacement Costs'!$C$16:$C$57,0),MATCH("Total Yearly Replacement Costs",'Replacement Costs'!$A$16:$H$16,0)))</f>
        <v>-1216622.4719354766</v>
      </c>
      <c r="J68" s="1094">
        <f ca="1">IF(AND(C68&gt;=1,C68&lt;anal_period),WorkingCap*SUM(N68:R68)-WorkingCap*SUM(N67:R67),IF(C68&lt;0,0,IF(B68="","",-SUM(J$65:J67))))</f>
        <v>-10223077.720520636</v>
      </c>
      <c r="K68" s="1094" t="str">
        <f t="shared" si="4"/>
        <v/>
      </c>
      <c r="L68" s="1094" t="str">
        <f t="shared" si="5"/>
        <v/>
      </c>
      <c r="M68" s="1094" t="str">
        <f t="shared" si="6"/>
        <v/>
      </c>
      <c r="N68" s="1094">
        <f t="shared" ca="1" si="7"/>
        <v>-6551539.3262336683</v>
      </c>
      <c r="O68" s="1094">
        <f t="shared" ca="1" si="8"/>
        <v>-53513260.75497327</v>
      </c>
      <c r="P68" s="1094">
        <f t="shared" ca="1" si="9"/>
        <v>0</v>
      </c>
      <c r="Q68" s="1094">
        <f t="shared" ca="1" si="10"/>
        <v>0</v>
      </c>
      <c r="R68" s="1094">
        <f t="shared" ca="1" si="11"/>
        <v>-8089051.3889306467</v>
      </c>
      <c r="S68" s="1094">
        <f ca="1">IF(B68="","",IF($B$31=0,"",-'Debt Financing Calculations'!E17))</f>
        <v>-5105241.0430421829</v>
      </c>
      <c r="T68" s="1094">
        <f t="shared" ca="1" si="12"/>
        <v>-3035302.8562439233</v>
      </c>
      <c r="U68" s="1094">
        <f ca="1">IF(C68="","",IF(C68&lt;-1,0,IF(C68=anal_period,-LOOKUP(C68,depr_yr,depr_cost)-Depreciation!$C$141-Depreciation!$B$166,-LOOKUP(C68,depr_yr,depr_cost))))</f>
        <v>-8751009.7237954363</v>
      </c>
      <c r="V68" s="1094">
        <f t="shared" ca="1" si="13"/>
        <v>-11786312.58003936</v>
      </c>
      <c r="W68" s="1095">
        <f t="shared" si="14"/>
        <v>0.25739999999999996</v>
      </c>
      <c r="X68" s="1094">
        <f t="shared" ca="1" si="15"/>
        <v>3033796.8581021307</v>
      </c>
      <c r="Y68" s="1094">
        <f ca="1">IF(C68="","",SUM(T68,X68))</f>
        <v>-1505.9981417926028</v>
      </c>
      <c r="Z68" s="1094">
        <f>IF(C68="","",IF($B$31=0,"",-'Debt Financing Calculations'!F17))</f>
        <v>0</v>
      </c>
      <c r="AA68" s="1094">
        <f t="shared" ca="1" si="17"/>
        <v>-11441206.190597907</v>
      </c>
      <c r="AB68" s="1094">
        <f t="shared" ca="1" si="23"/>
        <v>-117489259.68462543</v>
      </c>
      <c r="AC68" s="1157">
        <f t="shared" ca="1" si="18"/>
        <v>-14475003.048700036</v>
      </c>
      <c r="AD68" s="1086"/>
      <c r="AE68" s="1161">
        <f t="shared" ca="1" si="19"/>
        <v>62314314.75</v>
      </c>
      <c r="AF68" s="1157">
        <f t="shared" si="20"/>
        <v>0</v>
      </c>
    </row>
    <row r="69" spans="1:32" x14ac:dyDescent="0.25">
      <c r="A69" s="58">
        <f t="shared" si="21"/>
        <v>2016</v>
      </c>
      <c r="B69" s="185">
        <f>IF(MAX($B$65:B68)&lt;(construct+anal_period),B68+1,"")</f>
        <v>5</v>
      </c>
      <c r="C69" s="185">
        <f t="shared" si="22"/>
        <v>2</v>
      </c>
      <c r="D69" s="185">
        <f t="shared" si="1"/>
        <v>2</v>
      </c>
      <c r="E69" s="186">
        <f t="shared" si="2"/>
        <v>1.0189999999999999</v>
      </c>
      <c r="F69" s="59">
        <f t="shared" ca="1" si="3"/>
        <v>143116083.32083523</v>
      </c>
      <c r="G69" s="1169"/>
      <c r="H69" s="1178">
        <f t="shared" ref="H69:H113" si="24">IF(C69="","",0)</f>
        <v>0</v>
      </c>
      <c r="I69" s="187">
        <f ca="1">IF(OR(C69&lt;0,C69=""),"",-E69*INDEX('Replacement Costs'!$A$16:$H$57,MATCH(C69,'Replacement Costs'!$C$16:$C$57,0),MATCH("Total Yearly Replacement Costs",'Replacement Costs'!$A$16:$H$16,0)))</f>
        <v>-1239738.2989022506</v>
      </c>
      <c r="J69" s="187">
        <f ca="1">IF(AND(C69&gt;=1,C69&lt;anal_period),WorkingCap*SUM(N69:R69)-WorkingCap*SUM(N68:R68),IF(C69&lt;0,0,IF(B69="","",-SUM(J$65:J68))))</f>
        <v>-2956650.7888673991</v>
      </c>
      <c r="K69" s="187" t="str">
        <f t="shared" si="4"/>
        <v/>
      </c>
      <c r="L69" s="187" t="str">
        <f t="shared" si="5"/>
        <v/>
      </c>
      <c r="M69" s="187" t="str">
        <f t="shared" si="6"/>
        <v/>
      </c>
      <c r="N69" s="187">
        <f t="shared" ca="1" si="7"/>
        <v>-8901358.0979094766</v>
      </c>
      <c r="O69" s="187">
        <f t="shared" ca="1" si="8"/>
        <v>-68141993.415647298</v>
      </c>
      <c r="P69" s="187">
        <f t="shared" ca="1" si="9"/>
        <v>0</v>
      </c>
      <c r="Q69" s="187">
        <f t="shared" ca="1" si="10"/>
        <v>0</v>
      </c>
      <c r="R69" s="187">
        <f t="shared" ca="1" si="11"/>
        <v>-10821505.215696791</v>
      </c>
      <c r="S69" s="187">
        <f ca="1">IF(B69="","",IF($B$31=0,"",-'Debt Financing Calculations'!E18))</f>
        <v>-5105241.0430421829</v>
      </c>
      <c r="T69" s="187">
        <f t="shared" ca="1" si="12"/>
        <v>50145985.548539475</v>
      </c>
      <c r="U69" s="187">
        <f ca="1">IF(C69="","",IF(C69&lt;-1,0,IF(C69=anal_period,-LOOKUP(C69,depr_yr,depr_cost)-Depreciation!$C$141-Depreciation!$B$166,-LOOKUP(C69,depr_yr,depr_cost))))</f>
        <v>-16892767.305163302</v>
      </c>
      <c r="V69" s="187">
        <f t="shared" ca="1" si="13"/>
        <v>33253218.243376173</v>
      </c>
      <c r="W69" s="188">
        <f t="shared" si="14"/>
        <v>0.25739999999999996</v>
      </c>
      <c r="X69" s="187">
        <f t="shared" ca="1" si="15"/>
        <v>-8559378.3758450262</v>
      </c>
      <c r="Y69" s="187">
        <f t="shared" ca="1" si="16"/>
        <v>41586607.172694445</v>
      </c>
      <c r="Z69" s="187">
        <f>IF(C69="","",IF($B$31=0,"",-'Debt Financing Calculations'!F18))</f>
        <v>0</v>
      </c>
      <c r="AA69" s="187">
        <f t="shared" ca="1" si="17"/>
        <v>37390218.084924802</v>
      </c>
      <c r="AB69" s="187">
        <f t="shared" ca="1" si="23"/>
        <v>-80099041.59970063</v>
      </c>
      <c r="AC69" s="1156">
        <f t="shared" ca="1" si="18"/>
        <v>45949596.460769825</v>
      </c>
      <c r="AD69" s="134"/>
      <c r="AE69" s="1160">
        <f t="shared" ca="1" si="19"/>
        <v>124628629.5</v>
      </c>
      <c r="AF69" s="1156">
        <f t="shared" si="20"/>
        <v>0</v>
      </c>
    </row>
    <row r="70" spans="1:32" x14ac:dyDescent="0.25">
      <c r="A70" s="58">
        <f t="shared" si="21"/>
        <v>2017</v>
      </c>
      <c r="B70" s="185">
        <f>IF(MAX($B$65:B69)&lt;(construct+anal_period),B69+1,"")</f>
        <v>6</v>
      </c>
      <c r="C70" s="185">
        <f t="shared" si="22"/>
        <v>3</v>
      </c>
      <c r="D70" s="185">
        <f t="shared" si="1"/>
        <v>3</v>
      </c>
      <c r="E70" s="186">
        <f t="shared" si="2"/>
        <v>1.0383609999999999</v>
      </c>
      <c r="F70" s="59">
        <f t="shared" ca="1" si="3"/>
        <v>145835288.90393108</v>
      </c>
      <c r="G70" s="1169"/>
      <c r="H70" s="1178">
        <f t="shared" si="24"/>
        <v>0</v>
      </c>
      <c r="I70" s="187">
        <f ca="1">IF(OR(C70&lt;0,C70=""),"",-E70*INDEX('Replacement Costs'!$A$16:$H$57,MATCH(C70,'Replacement Costs'!$C$16:$C$57,0),MATCH("Total Yearly Replacement Costs",'Replacement Costs'!$A$16:$H$16,0)))</f>
        <v>-1263293.3265813934</v>
      </c>
      <c r="J70" s="187">
        <f ca="1">IF(AND(C70&gt;=1,C70&lt;anal_period),WorkingCap*SUM(N70:R70)-WorkingCap*SUM(N69:R69),IF(C70&lt;0,0,IF(B70="","",-SUM(J$65:J69))))</f>
        <v>-2012869.8984209429</v>
      </c>
      <c r="K70" s="187" t="str">
        <f t="shared" si="4"/>
        <v/>
      </c>
      <c r="L70" s="187" t="str">
        <f t="shared" si="5"/>
        <v/>
      </c>
      <c r="M70" s="187" t="str">
        <f t="shared" si="6"/>
        <v/>
      </c>
      <c r="N70" s="187">
        <f t="shared" ca="1" si="7"/>
        <v>-9070483.9017697573</v>
      </c>
      <c r="O70" s="187">
        <f t="shared" ca="1" si="8"/>
        <v>-80988757.955831766</v>
      </c>
      <c r="P70" s="187">
        <f t="shared" ca="1" si="9"/>
        <v>0</v>
      </c>
      <c r="Q70" s="187">
        <f t="shared" ca="1" si="10"/>
        <v>0</v>
      </c>
      <c r="R70" s="187">
        <f t="shared" ca="1" si="11"/>
        <v>-11224747.52779166</v>
      </c>
      <c r="S70" s="187">
        <f ca="1">IF(B70="","",IF($B$31=0,"",-'Debt Financing Calculations'!E19))</f>
        <v>-5105241.0430421829</v>
      </c>
      <c r="T70" s="187">
        <f t="shared" ca="1" si="12"/>
        <v>39446058.475495711</v>
      </c>
      <c r="U70" s="187">
        <f ca="1">IF(C70="","",IF(C70&lt;-1,0,IF(C70=anal_period,-LOOKUP(C70,depr_yr,depr_cost)-Depreciation!$C$141-Depreciation!$B$166,-LOOKUP(C70,depr_yr,depr_cost))))</f>
        <v>-15718334.721086454</v>
      </c>
      <c r="V70" s="187">
        <f t="shared" ca="1" si="13"/>
        <v>23727723.754409257</v>
      </c>
      <c r="W70" s="188">
        <f t="shared" si="14"/>
        <v>0.25739999999999996</v>
      </c>
      <c r="X70" s="187">
        <f t="shared" ca="1" si="15"/>
        <v>-6107516.0943849422</v>
      </c>
      <c r="Y70" s="187">
        <f t="shared" ca="1" si="16"/>
        <v>33338542.381110769</v>
      </c>
      <c r="Z70" s="187">
        <f>IF(C70="","",IF($B$31=0,"",-'Debt Financing Calculations'!F19))</f>
        <v>0</v>
      </c>
      <c r="AA70" s="187">
        <f t="shared" ca="1" si="17"/>
        <v>30062379.156108435</v>
      </c>
      <c r="AB70" s="187">
        <f t="shared" ca="1" si="23"/>
        <v>-50036662.443592191</v>
      </c>
      <c r="AC70" s="1156">
        <f t="shared" ca="1" si="18"/>
        <v>36169895.250493377</v>
      </c>
      <c r="AD70" s="134"/>
      <c r="AE70" s="1160">
        <f t="shared" ca="1" si="19"/>
        <v>124628629.5</v>
      </c>
      <c r="AF70" s="1156">
        <f t="shared" si="20"/>
        <v>0</v>
      </c>
    </row>
    <row r="71" spans="1:32" x14ac:dyDescent="0.25">
      <c r="A71" s="58">
        <f t="shared" si="21"/>
        <v>2018</v>
      </c>
      <c r="B71" s="185">
        <f>IF(MAX($B$65:B70)&lt;(construct+anal_period),B70+1,"")</f>
        <v>7</v>
      </c>
      <c r="C71" s="185">
        <f t="shared" si="22"/>
        <v>4</v>
      </c>
      <c r="D71" s="185">
        <f t="shared" si="1"/>
        <v>4</v>
      </c>
      <c r="E71" s="186">
        <f t="shared" si="2"/>
        <v>1.0580898589999999</v>
      </c>
      <c r="F71" s="59">
        <f t="shared" ca="1" si="3"/>
        <v>148606159.39310578</v>
      </c>
      <c r="G71" s="1169"/>
      <c r="H71" s="1178">
        <f t="shared" si="24"/>
        <v>0</v>
      </c>
      <c r="I71" s="187">
        <f ca="1">IF(OR(C71&lt;0,C71=""),"",-E71*INDEX('Replacement Costs'!$A$16:$H$57,MATCH(C71,'Replacement Costs'!$C$16:$C$57,0),MATCH("Total Yearly Replacement Costs",'Replacement Costs'!$A$16:$H$16,0)))</f>
        <v>-1287295.8997864397</v>
      </c>
      <c r="J71" s="187">
        <f ca="1">IF(AND(C71&gt;=1,C71&lt;anal_period),WorkingCap*SUM(N71:R71)-WorkingCap*SUM(N70:R70),IF(C71&lt;0,0,IF(B71="","",-SUM(J$65:J70))))</f>
        <v>-1428655.050352037</v>
      </c>
      <c r="K71" s="187" t="str">
        <f t="shared" si="4"/>
        <v/>
      </c>
      <c r="L71" s="187" t="str">
        <f t="shared" si="5"/>
        <v/>
      </c>
      <c r="M71" s="187" t="str">
        <f t="shared" si="6"/>
        <v/>
      </c>
      <c r="N71" s="187">
        <f t="shared" ca="1" si="7"/>
        <v>-9242823.0959033817</v>
      </c>
      <c r="O71" s="187">
        <f t="shared" ca="1" si="8"/>
        <v>-90244895.371385947</v>
      </c>
      <c r="P71" s="187">
        <f t="shared" ca="1" si="9"/>
        <v>0</v>
      </c>
      <c r="Q71" s="187">
        <f t="shared" ca="1" si="10"/>
        <v>0</v>
      </c>
      <c r="R71" s="187">
        <f t="shared" ca="1" si="11"/>
        <v>-11320637.920450769</v>
      </c>
      <c r="S71" s="187">
        <f ca="1">IF(B71="","",IF($B$31=0,"",-'Debt Financing Calculations'!E20))</f>
        <v>-5105241.0430421829</v>
      </c>
      <c r="T71" s="187">
        <f t="shared" ca="1" si="12"/>
        <v>32692561.962323487</v>
      </c>
      <c r="U71" s="187">
        <f ca="1">IF(C71="","",IF(C71&lt;-1,0,IF(C71=anal_period,-LOOKUP(C71,depr_yr,depr_cost)-Depreciation!$C$141-Depreciation!$B$166,-LOOKUP(C71,depr_yr,depr_cost))))</f>
        <v>-14636911.284741448</v>
      </c>
      <c r="V71" s="187">
        <f t="shared" ca="1" si="13"/>
        <v>18055650.67758204</v>
      </c>
      <c r="W71" s="188">
        <f t="shared" si="14"/>
        <v>0.25739999999999996</v>
      </c>
      <c r="X71" s="187">
        <f t="shared" ca="1" si="15"/>
        <v>-4647524.4844096163</v>
      </c>
      <c r="Y71" s="187">
        <f t="shared" ca="1" si="16"/>
        <v>28045037.477913871</v>
      </c>
      <c r="Z71" s="187">
        <f>IF(C71="","",IF($B$31=0,"",-'Debt Financing Calculations'!F20))</f>
        <v>0</v>
      </c>
      <c r="AA71" s="187">
        <f t="shared" ca="1" si="17"/>
        <v>25329086.527775396</v>
      </c>
      <c r="AB71" s="187">
        <f t="shared" ca="1" si="23"/>
        <v>-24707575.915816795</v>
      </c>
      <c r="AC71" s="1156">
        <f t="shared" ca="1" si="18"/>
        <v>29976611.012185011</v>
      </c>
      <c r="AD71" s="134"/>
      <c r="AE71" s="1160">
        <f t="shared" ca="1" si="19"/>
        <v>124628629.5</v>
      </c>
      <c r="AF71" s="1156">
        <f t="shared" si="20"/>
        <v>0</v>
      </c>
    </row>
    <row r="72" spans="1:32" x14ac:dyDescent="0.25">
      <c r="A72" s="58">
        <f t="shared" si="21"/>
        <v>2019</v>
      </c>
      <c r="B72" s="185">
        <f>IF(MAX($B$65:B71)&lt;(construct+anal_period),B71+1,"")</f>
        <v>8</v>
      </c>
      <c r="C72" s="185">
        <f t="shared" si="22"/>
        <v>5</v>
      </c>
      <c r="D72" s="185">
        <f t="shared" si="1"/>
        <v>5</v>
      </c>
      <c r="E72" s="186">
        <f t="shared" si="2"/>
        <v>1.0781935663209998</v>
      </c>
      <c r="F72" s="59">
        <f t="shared" ca="1" si="3"/>
        <v>151429676.4215748</v>
      </c>
      <c r="G72" s="1169"/>
      <c r="H72" s="1178">
        <f t="shared" si="24"/>
        <v>0</v>
      </c>
      <c r="I72" s="187">
        <f ca="1">IF(OR(C72&lt;0,C72=""),"",-E72*INDEX('Replacement Costs'!$A$16:$H$57,MATCH(C72,'Replacement Costs'!$C$16:$C$57,0),MATCH("Total Yearly Replacement Costs",'Replacement Costs'!$A$16:$H$16,0)))</f>
        <v>-1311754.521882382</v>
      </c>
      <c r="J72" s="187">
        <f ca="1">IF(AND(C72&gt;=1,C72&lt;anal_period),WorkingCap*SUM(N72:R72)-WorkingCap*SUM(N71:R71),IF(C72&lt;0,0,IF(B72="","",-SUM(J$65:J71))))</f>
        <v>-1653077.2027577572</v>
      </c>
      <c r="K72" s="187" t="str">
        <f t="shared" si="4"/>
        <v/>
      </c>
      <c r="L72" s="187" t="str">
        <f t="shared" si="5"/>
        <v/>
      </c>
      <c r="M72" s="187" t="str">
        <f t="shared" si="6"/>
        <v/>
      </c>
      <c r="N72" s="187">
        <f t="shared" ca="1" si="7"/>
        <v>-9418436.7347255461</v>
      </c>
      <c r="O72" s="187">
        <f t="shared" ca="1" si="8"/>
        <v>-100808203.24826321</v>
      </c>
      <c r="P72" s="187">
        <f t="shared" ca="1" si="9"/>
        <v>0</v>
      </c>
      <c r="Q72" s="187">
        <f t="shared" ca="1" si="10"/>
        <v>0</v>
      </c>
      <c r="R72" s="187">
        <f t="shared" ca="1" si="11"/>
        <v>-11602231.089803047</v>
      </c>
      <c r="S72" s="187">
        <f ca="1">IF(B72="","",IF($B$31=0,"",-'Debt Financing Calculations'!E21))</f>
        <v>-5105241.0430421829</v>
      </c>
      <c r="T72" s="187">
        <f t="shared" ca="1" si="12"/>
        <v>24495564.305740803</v>
      </c>
      <c r="U72" s="187">
        <f ca="1">IF(C72="","",IF(C72&lt;-1,0,IF(C72=anal_period,-LOOKUP(C72,depr_yr,depr_cost)-Depreciation!$C$141-Depreciation!$B$166,-LOOKUP(C72,depr_yr,depr_cost))))</f>
        <v>-13634921.029593425</v>
      </c>
      <c r="V72" s="187">
        <f t="shared" ca="1" si="13"/>
        <v>10860643.276147379</v>
      </c>
      <c r="W72" s="188">
        <f t="shared" si="14"/>
        <v>0.25739999999999996</v>
      </c>
      <c r="X72" s="187">
        <f t="shared" ca="1" si="15"/>
        <v>-2795529.579280335</v>
      </c>
      <c r="Y72" s="187">
        <f t="shared" ca="1" si="16"/>
        <v>21700034.726460468</v>
      </c>
      <c r="Z72" s="187">
        <f>IF(C72="","",IF($B$31=0,"",-'Debt Financing Calculations'!F21))</f>
        <v>0</v>
      </c>
      <c r="AA72" s="187">
        <f t="shared" ca="1" si="17"/>
        <v>18735203.00182033</v>
      </c>
      <c r="AB72" s="187">
        <f t="shared" ca="1" si="23"/>
        <v>-5972372.9139964655</v>
      </c>
      <c r="AC72" s="1156">
        <f t="shared" ca="1" si="18"/>
        <v>21530732.581100665</v>
      </c>
      <c r="AD72" s="134"/>
      <c r="AE72" s="1160">
        <f t="shared" ca="1" si="19"/>
        <v>124628629.5</v>
      </c>
      <c r="AF72" s="1156">
        <f t="shared" si="20"/>
        <v>0</v>
      </c>
    </row>
    <row r="73" spans="1:32" x14ac:dyDescent="0.25">
      <c r="A73" s="58">
        <f t="shared" si="21"/>
        <v>2020</v>
      </c>
      <c r="B73" s="185">
        <f>IF(MAX($B$65:B72)&lt;(construct+anal_period),B72+1,"")</f>
        <v>9</v>
      </c>
      <c r="C73" s="185">
        <f t="shared" si="22"/>
        <v>6</v>
      </c>
      <c r="D73" s="185">
        <f t="shared" si="1"/>
        <v>6</v>
      </c>
      <c r="E73" s="186">
        <f t="shared" si="2"/>
        <v>1.0986792440810986</v>
      </c>
      <c r="F73" s="59">
        <f t="shared" ca="1" si="3"/>
        <v>154306840.27358469</v>
      </c>
      <c r="G73" s="1169"/>
      <c r="H73" s="1178">
        <f t="shared" si="24"/>
        <v>0</v>
      </c>
      <c r="I73" s="187">
        <f ca="1">IF(OR(C73&lt;0,C73=""),"",-E73*INDEX('Replacement Costs'!$A$16:$H$57,MATCH(C73,'Replacement Costs'!$C$16:$C$57,0),MATCH("Total Yearly Replacement Costs",'Replacement Costs'!$A$16:$H$16,0)))</f>
        <v>-1336677.857798147</v>
      </c>
      <c r="J73" s="187">
        <f ca="1">IF(AND(C73&gt;=1,C73&lt;anal_period),WorkingCap*SUM(N73:R73)-WorkingCap*SUM(N72:R72),IF(C73&lt;0,0,IF(B73="","",-SUM(J$65:J72))))</f>
        <v>-1699041.8587676957</v>
      </c>
      <c r="K73" s="187" t="str">
        <f t="shared" si="4"/>
        <v/>
      </c>
      <c r="L73" s="187" t="str">
        <f t="shared" si="5"/>
        <v/>
      </c>
      <c r="M73" s="187" t="str">
        <f t="shared" si="6"/>
        <v/>
      </c>
      <c r="N73" s="187">
        <f t="shared" ca="1" si="7"/>
        <v>-9597387.0326853301</v>
      </c>
      <c r="O73" s="187">
        <f t="shared" ca="1" si="8"/>
        <v>-111636708.1351441</v>
      </c>
      <c r="P73" s="187">
        <f t="shared" ca="1" si="9"/>
        <v>0</v>
      </c>
      <c r="Q73" s="187">
        <f t="shared" ca="1" si="10"/>
        <v>0</v>
      </c>
      <c r="R73" s="187">
        <f t="shared" ca="1" si="11"/>
        <v>-11921721.630080353</v>
      </c>
      <c r="S73" s="187">
        <f ca="1">IF(B73="","",IF($B$31=0,"",-'Debt Financing Calculations'!E22))</f>
        <v>-5105241.0430421829</v>
      </c>
      <c r="T73" s="187">
        <f t="shared" ca="1" si="12"/>
        <v>16045782.432632715</v>
      </c>
      <c r="U73" s="187">
        <f ca="1">IF(C73="","",IF(C73&lt;-1,0,IF(C73=anal_period,-LOOKUP(C73,depr_yr,depr_cost)-Depreciation!$C$141-Depreciation!$B$166,-LOOKUP(C73,depr_yr,depr_cost))))</f>
        <v>-12712723.307699112</v>
      </c>
      <c r="V73" s="187">
        <f t="shared" ca="1" si="13"/>
        <v>3333059.1249336023</v>
      </c>
      <c r="W73" s="188">
        <f t="shared" si="14"/>
        <v>0.25739999999999996</v>
      </c>
      <c r="X73" s="187">
        <f t="shared" ca="1" si="15"/>
        <v>-857929.41875790909</v>
      </c>
      <c r="Y73" s="187">
        <f t="shared" ca="1" si="16"/>
        <v>15187853.013874805</v>
      </c>
      <c r="Z73" s="187">
        <f>IF(C73="","",IF($B$31=0,"",-'Debt Financing Calculations'!F22))</f>
        <v>0</v>
      </c>
      <c r="AA73" s="187">
        <f t="shared" ca="1" si="17"/>
        <v>12152133.297308961</v>
      </c>
      <c r="AB73" s="187">
        <f t="shared" ca="1" si="23"/>
        <v>6179760.3833124954</v>
      </c>
      <c r="AC73" s="1156">
        <f t="shared" ca="1" si="18"/>
        <v>13010062.716066871</v>
      </c>
      <c r="AD73" s="134"/>
      <c r="AE73" s="1160">
        <f t="shared" ca="1" si="19"/>
        <v>124628629.5</v>
      </c>
      <c r="AF73" s="1156">
        <f t="shared" si="20"/>
        <v>0</v>
      </c>
    </row>
    <row r="74" spans="1:32" x14ac:dyDescent="0.25">
      <c r="A74" s="58">
        <f t="shared" si="21"/>
        <v>2021</v>
      </c>
      <c r="B74" s="185">
        <f>IF(MAX($B$65:B73)&lt;(construct+anal_period),B73+1,"")</f>
        <v>10</v>
      </c>
      <c r="C74" s="185">
        <f t="shared" si="22"/>
        <v>7</v>
      </c>
      <c r="D74" s="185">
        <f t="shared" si="1"/>
        <v>7</v>
      </c>
      <c r="E74" s="186">
        <f t="shared" si="2"/>
        <v>1.1195541497186396</v>
      </c>
      <c r="F74" s="59">
        <f t="shared" ca="1" si="3"/>
        <v>157238670.23878282</v>
      </c>
      <c r="G74" s="1169"/>
      <c r="H74" s="1178">
        <f t="shared" si="24"/>
        <v>0</v>
      </c>
      <c r="I74" s="187">
        <f ca="1">IF(OR(C74&lt;0,C74=""),"",-E74*INDEX('Replacement Costs'!$A$16:$H$57,MATCH(C74,'Replacement Costs'!$C$16:$C$57,0),MATCH("Total Yearly Replacement Costs",'Replacement Costs'!$A$16:$H$16,0)))</f>
        <v>-1362074.737096312</v>
      </c>
      <c r="J74" s="187">
        <f ca="1">IF(AND(C74&gt;=1,C74&lt;anal_period),WorkingCap*SUM(N74:R74)-WorkingCap*SUM(N73:R73),IF(C74&lt;0,0,IF(B74="","",-SUM(J$65:J73))))</f>
        <v>-402154.97636847198</v>
      </c>
      <c r="K74" s="187" t="str">
        <f t="shared" si="4"/>
        <v/>
      </c>
      <c r="L74" s="187" t="str">
        <f t="shared" si="5"/>
        <v/>
      </c>
      <c r="M74" s="187" t="str">
        <f t="shared" si="6"/>
        <v/>
      </c>
      <c r="N74" s="187">
        <f t="shared" ca="1" si="7"/>
        <v>-9779737.3863063529</v>
      </c>
      <c r="O74" s="187">
        <f t="shared" ca="1" si="8"/>
        <v>-113878444.61174414</v>
      </c>
      <c r="P74" s="187">
        <f t="shared" ca="1" si="9"/>
        <v>0</v>
      </c>
      <c r="Q74" s="187">
        <f t="shared" ca="1" si="10"/>
        <v>0</v>
      </c>
      <c r="R74" s="187">
        <f t="shared" ca="1" si="11"/>
        <v>-12178667.975649131</v>
      </c>
      <c r="S74" s="187">
        <f ca="1">IF(B74="","",IF($B$31=0,"",-'Debt Financing Calculations'!E23))</f>
        <v>-5105241.0430421829</v>
      </c>
      <c r="T74" s="187">
        <f t="shared" ca="1" si="12"/>
        <v>16296579.222041041</v>
      </c>
      <c r="U74" s="187">
        <f ca="1">IF(C74="","",IF(C74&lt;-1,0,IF(C74=anal_period,-LOOKUP(C74,depr_yr,depr_cost)-Depreciation!$C$141-Depreciation!$B$166,-LOOKUP(C74,depr_yr,depr_cost))))</f>
        <v>-11859016.28583926</v>
      </c>
      <c r="V74" s="187">
        <f t="shared" ca="1" si="13"/>
        <v>4437562.936201781</v>
      </c>
      <c r="W74" s="188">
        <f t="shared" si="14"/>
        <v>0.25739999999999996</v>
      </c>
      <c r="X74" s="187">
        <f t="shared" ca="1" si="15"/>
        <v>-1142228.6997783382</v>
      </c>
      <c r="Y74" s="187">
        <f t="shared" ca="1" si="16"/>
        <v>15154350.522262702</v>
      </c>
      <c r="Z74" s="187">
        <f>IF(C74="","",IF($B$31=0,"",-'Debt Financing Calculations'!F23))</f>
        <v>0</v>
      </c>
      <c r="AA74" s="187">
        <f t="shared" ca="1" si="17"/>
        <v>13390120.808797918</v>
      </c>
      <c r="AB74" s="187">
        <f t="shared" ca="1" si="23"/>
        <v>19569881.192110412</v>
      </c>
      <c r="AC74" s="1156">
        <f t="shared" ca="1" si="18"/>
        <v>14532349.508576257</v>
      </c>
      <c r="AD74" s="134"/>
      <c r="AE74" s="1160">
        <f t="shared" ca="1" si="19"/>
        <v>124628629.5</v>
      </c>
      <c r="AF74" s="1156">
        <f t="shared" si="20"/>
        <v>0</v>
      </c>
    </row>
    <row r="75" spans="1:32" x14ac:dyDescent="0.25">
      <c r="A75" s="58">
        <f t="shared" si="21"/>
        <v>2022</v>
      </c>
      <c r="B75" s="185">
        <f>IF(MAX($B$65:B74)&lt;(construct+anal_period),B74+1,"")</f>
        <v>11</v>
      </c>
      <c r="C75" s="185">
        <f t="shared" si="22"/>
        <v>8</v>
      </c>
      <c r="D75" s="185">
        <f t="shared" si="1"/>
        <v>8</v>
      </c>
      <c r="E75" s="186">
        <f t="shared" si="2"/>
        <v>1.1408256785632938</v>
      </c>
      <c r="F75" s="59">
        <f t="shared" ca="1" si="3"/>
        <v>160226204.97331968</v>
      </c>
      <c r="G75" s="1169"/>
      <c r="H75" s="1178">
        <f t="shared" si="24"/>
        <v>0</v>
      </c>
      <c r="I75" s="187">
        <f ca="1">IF(OR(C75&lt;0,C75=""),"",-E75*INDEX('Replacement Costs'!$A$16:$H$57,MATCH(C75,'Replacement Costs'!$C$16:$C$57,0),MATCH("Total Yearly Replacement Costs",'Replacement Costs'!$A$16:$H$16,0)))</f>
        <v>-1387954.157101142</v>
      </c>
      <c r="J75" s="187">
        <f ca="1">IF(AND(C75&gt;=1,C75&lt;anal_period),WorkingCap*SUM(N75:R75)-WorkingCap*SUM(N74:R74),IF(C75&lt;0,0,IF(B75="","",-SUM(J$65:J74))))</f>
        <v>-222122.26383547112</v>
      </c>
      <c r="K75" s="187" t="str">
        <f t="shared" si="4"/>
        <v/>
      </c>
      <c r="L75" s="187" t="str">
        <f t="shared" si="5"/>
        <v/>
      </c>
      <c r="M75" s="187" t="str">
        <f t="shared" si="6"/>
        <v/>
      </c>
      <c r="N75" s="187">
        <f t="shared" ca="1" si="7"/>
        <v>-9965552.3966461718</v>
      </c>
      <c r="O75" s="187">
        <f t="shared" ca="1" si="8"/>
        <v>-114759304.00540955</v>
      </c>
      <c r="P75" s="187">
        <f t="shared" ca="1" si="9"/>
        <v>0</v>
      </c>
      <c r="Q75" s="187">
        <f t="shared" ca="1" si="10"/>
        <v>0</v>
      </c>
      <c r="R75" s="187">
        <f t="shared" ca="1" si="11"/>
        <v>-12592808.663880361</v>
      </c>
      <c r="S75" s="187">
        <f ca="1">IF(B75="","",IF($B$31=0,"",-'Debt Financing Calculations'!E24))</f>
        <v>-5105241.0430421829</v>
      </c>
      <c r="T75" s="187">
        <f t="shared" ca="1" si="12"/>
        <v>17803298.864341408</v>
      </c>
      <c r="U75" s="187">
        <f ca="1">IF(C75="","",IF(C75&lt;-1,0,IF(C75=anal_period,-LOOKUP(C75,depr_yr,depr_cost)-Depreciation!$C$141-Depreciation!$B$166,-LOOKUP(C75,depr_yr,depr_cost))))</f>
        <v>-11074111.114259891</v>
      </c>
      <c r="V75" s="187">
        <f t="shared" ca="1" si="13"/>
        <v>6729187.7500815168</v>
      </c>
      <c r="W75" s="188">
        <f t="shared" si="14"/>
        <v>0.25739999999999996</v>
      </c>
      <c r="X75" s="187">
        <f t="shared" ca="1" si="15"/>
        <v>-1732092.9268709822</v>
      </c>
      <c r="Y75" s="187">
        <f t="shared" ca="1" si="16"/>
        <v>16071205.937470425</v>
      </c>
      <c r="Z75" s="187">
        <f>IF(C75="","",IF($B$31=0,"",-'Debt Financing Calculations'!F24))</f>
        <v>0</v>
      </c>
      <c r="AA75" s="187">
        <f t="shared" ca="1" si="17"/>
        <v>14461129.516533814</v>
      </c>
      <c r="AB75" s="187">
        <f t="shared" ca="1" si="23"/>
        <v>34031010.708644226</v>
      </c>
      <c r="AC75" s="1156">
        <f t="shared" ca="1" si="18"/>
        <v>16193222.443404796</v>
      </c>
      <c r="AD75" s="134"/>
      <c r="AE75" s="1160">
        <f t="shared" ca="1" si="19"/>
        <v>124628629.5</v>
      </c>
      <c r="AF75" s="1156">
        <f t="shared" si="20"/>
        <v>0</v>
      </c>
    </row>
    <row r="76" spans="1:32" x14ac:dyDescent="0.25">
      <c r="A76" s="58">
        <f t="shared" si="21"/>
        <v>2023</v>
      </c>
      <c r="B76" s="185">
        <f>IF(MAX($B$65:B75)&lt;(construct+anal_period),B75+1,"")</f>
        <v>12</v>
      </c>
      <c r="C76" s="185">
        <f t="shared" si="22"/>
        <v>9</v>
      </c>
      <c r="D76" s="185">
        <f t="shared" si="1"/>
        <v>9</v>
      </c>
      <c r="E76" s="186">
        <f t="shared" si="2"/>
        <v>1.1625013664559962</v>
      </c>
      <c r="F76" s="59">
        <f t="shared" ca="1" si="3"/>
        <v>163270502.86781275</v>
      </c>
      <c r="G76" s="1169"/>
      <c r="H76" s="1178">
        <f t="shared" si="24"/>
        <v>0</v>
      </c>
      <c r="I76" s="187">
        <f ca="1">IF(OR(C76&lt;0,C76=""),"",-E76*INDEX('Replacement Costs'!$A$16:$H$57,MATCH(C76,'Replacement Costs'!$C$16:$C$57,0),MATCH("Total Yearly Replacement Costs",'Replacement Costs'!$A$16:$H$16,0)))</f>
        <v>-1414325.2860860636</v>
      </c>
      <c r="J76" s="187">
        <f ca="1">IF(AND(C76&gt;=1,C76&lt;anal_period),WorkingCap*SUM(N76:R76)-WorkingCap*SUM(N75:R75),IF(C76&lt;0,0,IF(B76="","",-SUM(J$65:J75))))</f>
        <v>-434362.43950688839</v>
      </c>
      <c r="K76" s="187" t="str">
        <f t="shared" si="4"/>
        <v/>
      </c>
      <c r="L76" s="187" t="str">
        <f t="shared" si="5"/>
        <v/>
      </c>
      <c r="M76" s="187" t="str">
        <f t="shared" si="6"/>
        <v/>
      </c>
      <c r="N76" s="187">
        <f t="shared" ca="1" si="7"/>
        <v>-10154897.892182449</v>
      </c>
      <c r="O76" s="187">
        <f t="shared" ca="1" si="8"/>
        <v>-117207569.49005002</v>
      </c>
      <c r="P76" s="187">
        <f t="shared" ca="1" si="9"/>
        <v>0</v>
      </c>
      <c r="Q76" s="187">
        <f t="shared" ca="1" si="10"/>
        <v>0</v>
      </c>
      <c r="R76" s="187">
        <f t="shared" ca="1" si="11"/>
        <v>-12850947.280416207</v>
      </c>
      <c r="S76" s="187">
        <f ca="1">IF(B76="","",IF($B$31=0,"",-'Debt Financing Calculations'!E25))</f>
        <v>-5105241.0430421829</v>
      </c>
      <c r="T76" s="187">
        <f t="shared" ca="1" si="12"/>
        <v>17951847.162121892</v>
      </c>
      <c r="U76" s="187">
        <f ca="1">IF(C76="","",IF(C76&lt;-1,0,IF(C76=anal_period,-LOOKUP(C76,depr_yr,depr_cost)-Depreciation!$C$141-Depreciation!$B$166,-LOOKUP(C76,depr_yr,depr_cost))))</f>
        <v>-11000065.568140045</v>
      </c>
      <c r="V76" s="187">
        <f t="shared" ca="1" si="13"/>
        <v>6951781.5939818472</v>
      </c>
      <c r="W76" s="188">
        <f t="shared" si="14"/>
        <v>0.25739999999999996</v>
      </c>
      <c r="X76" s="187">
        <f t="shared" ca="1" si="15"/>
        <v>-1789388.5822909272</v>
      </c>
      <c r="Y76" s="187">
        <f t="shared" ca="1" si="16"/>
        <v>16162458.579830965</v>
      </c>
      <c r="Z76" s="187">
        <f>IF(C76="","",IF($B$31=0,"",-'Debt Financing Calculations'!F25))</f>
        <v>0</v>
      </c>
      <c r="AA76" s="187">
        <f t="shared" ca="1" si="17"/>
        <v>14313770.854238013</v>
      </c>
      <c r="AB76" s="187">
        <f t="shared" ca="1" si="23"/>
        <v>48344781.562882237</v>
      </c>
      <c r="AC76" s="1156">
        <f t="shared" ca="1" si="18"/>
        <v>16103159.43652894</v>
      </c>
      <c r="AD76" s="134"/>
      <c r="AE76" s="1160">
        <f t="shared" ca="1" si="19"/>
        <v>124628629.5</v>
      </c>
      <c r="AF76" s="1156">
        <f t="shared" si="20"/>
        <v>0</v>
      </c>
    </row>
    <row r="77" spans="1:32" x14ac:dyDescent="0.25">
      <c r="A77" s="58">
        <f t="shared" si="21"/>
        <v>2024</v>
      </c>
      <c r="B77" s="185">
        <f>IF(MAX($B$65:B76)&lt;(construct+anal_period),B76+1,"")</f>
        <v>13</v>
      </c>
      <c r="C77" s="185">
        <f t="shared" si="22"/>
        <v>10</v>
      </c>
      <c r="D77" s="185">
        <f t="shared" si="1"/>
        <v>10</v>
      </c>
      <c r="E77" s="186">
        <f t="shared" si="2"/>
        <v>1.1845888924186601</v>
      </c>
      <c r="F77" s="59">
        <f t="shared" ca="1" si="3"/>
        <v>166372642.42230117</v>
      </c>
      <c r="G77" s="1169"/>
      <c r="H77" s="1178">
        <f t="shared" si="24"/>
        <v>0</v>
      </c>
      <c r="I77" s="187">
        <f ca="1">IF(OR(C77&lt;0,C77=""),"",-E77*INDEX('Replacement Costs'!$A$16:$H$57,MATCH(C77,'Replacement Costs'!$C$16:$C$57,0),MATCH("Total Yearly Replacement Costs",'Replacement Costs'!$A$16:$H$16,0)))</f>
        <v>-1441197.4665216985</v>
      </c>
      <c r="J77" s="187">
        <f ca="1">IF(AND(C77&gt;=1,C77&lt;anal_period),WorkingCap*SUM(N77:R77)-WorkingCap*SUM(N76:R76),IF(C77&lt;0,0,IF(B77="","",-SUM(J$65:J76))))</f>
        <v>-704453.36533021927</v>
      </c>
      <c r="K77" s="187" t="str">
        <f t="shared" si="4"/>
        <v/>
      </c>
      <c r="L77" s="187" t="str">
        <f t="shared" si="5"/>
        <v/>
      </c>
      <c r="M77" s="187" t="str">
        <f t="shared" si="6"/>
        <v/>
      </c>
      <c r="N77" s="187">
        <f t="shared" ca="1" si="7"/>
        <v>-10347840.952133914</v>
      </c>
      <c r="O77" s="187">
        <f t="shared" ca="1" si="8"/>
        <v>-121482862.78186381</v>
      </c>
      <c r="P77" s="187">
        <f t="shared" ca="1" si="9"/>
        <v>0</v>
      </c>
      <c r="Q77" s="187">
        <f t="shared" ca="1" si="10"/>
        <v>0</v>
      </c>
      <c r="R77" s="187">
        <f t="shared" ca="1" si="11"/>
        <v>-13079066.697519088</v>
      </c>
      <c r="S77" s="187">
        <f ca="1">IF(B77="","",IF($B$31=0,"",-'Debt Financing Calculations'!E26))</f>
        <v>-5105241.0430421829</v>
      </c>
      <c r="T77" s="187">
        <f t="shared" ca="1" si="12"/>
        <v>16357630.947742194</v>
      </c>
      <c r="U77" s="187">
        <f ca="1">IF(C77="","",IF(C77&lt;-1,0,IF(C77=anal_period,-LOOKUP(C77,depr_yr,depr_cost)-Depreciation!$C$141-Depreciation!$B$166,-LOOKUP(C77,depr_yr,depr_cost))))</f>
        <v>-11064212.173608331</v>
      </c>
      <c r="V77" s="187">
        <f t="shared" ca="1" si="13"/>
        <v>5293418.7741338629</v>
      </c>
      <c r="W77" s="188">
        <f t="shared" si="14"/>
        <v>0.25739999999999996</v>
      </c>
      <c r="X77" s="187">
        <f t="shared" ca="1" si="15"/>
        <v>-1362525.9924620562</v>
      </c>
      <c r="Y77" s="187">
        <f t="shared" ca="1" si="16"/>
        <v>14995104.955280138</v>
      </c>
      <c r="Z77" s="187">
        <f>IF(C77="","",IF($B$31=0,"",-'Debt Financing Calculations'!F26))</f>
        <v>0</v>
      </c>
      <c r="AA77" s="187">
        <f t="shared" ca="1" si="17"/>
        <v>12849454.12342822</v>
      </c>
      <c r="AB77" s="187">
        <f t="shared" ca="1" si="23"/>
        <v>61194235.686310455</v>
      </c>
      <c r="AC77" s="1156">
        <f t="shared" ca="1" si="18"/>
        <v>14211980.115890276</v>
      </c>
      <c r="AD77" s="134"/>
      <c r="AE77" s="1160">
        <f t="shared" ca="1" si="19"/>
        <v>124628629.5</v>
      </c>
      <c r="AF77" s="1156">
        <f t="shared" si="20"/>
        <v>0</v>
      </c>
    </row>
    <row r="78" spans="1:32" x14ac:dyDescent="0.25">
      <c r="A78" s="58">
        <f t="shared" si="21"/>
        <v>2025</v>
      </c>
      <c r="B78" s="185">
        <f>IF(MAX($B$65:B77)&lt;(construct+anal_period),B77+1,"")</f>
        <v>14</v>
      </c>
      <c r="C78" s="185">
        <f t="shared" si="22"/>
        <v>11</v>
      </c>
      <c r="D78" s="185">
        <f t="shared" si="1"/>
        <v>11</v>
      </c>
      <c r="E78" s="186">
        <f t="shared" si="2"/>
        <v>1.2070960813746145</v>
      </c>
      <c r="F78" s="59">
        <f t="shared" ca="1" si="3"/>
        <v>169533722.6283249</v>
      </c>
      <c r="G78" s="1169"/>
      <c r="H78" s="1178">
        <f t="shared" si="24"/>
        <v>0</v>
      </c>
      <c r="I78" s="187">
        <f ca="1">IF(OR(C78&lt;0,C78=""),"",-E78*INDEX('Replacement Costs'!$A$16:$H$57,MATCH(C78,'Replacement Costs'!$C$16:$C$57,0),MATCH("Total Yearly Replacement Costs",'Replacement Costs'!$A$16:$H$16,0)))</f>
        <v>-1468580.2183856107</v>
      </c>
      <c r="J78" s="187">
        <f ca="1">IF(AND(C78&gt;=1,C78&lt;anal_period),WorkingCap*SUM(N78:R78)-WorkingCap*SUM(N77:R77),IF(C78&lt;0,0,IF(B78="","",-SUM(J$65:J77))))</f>
        <v>-843807.72885176167</v>
      </c>
      <c r="K78" s="187" t="str">
        <f t="shared" si="4"/>
        <v/>
      </c>
      <c r="L78" s="187" t="str">
        <f t="shared" si="5"/>
        <v/>
      </c>
      <c r="M78" s="187" t="str">
        <f t="shared" si="6"/>
        <v/>
      </c>
      <c r="N78" s="187">
        <f t="shared" ca="1" si="7"/>
        <v>-10544449.930224458</v>
      </c>
      <c r="O78" s="187">
        <f t="shared" ca="1" si="8"/>
        <v>-126514572.71743251</v>
      </c>
      <c r="P78" s="187">
        <f t="shared" ca="1" si="9"/>
        <v>0</v>
      </c>
      <c r="Q78" s="187">
        <f t="shared" ca="1" si="10"/>
        <v>0</v>
      </c>
      <c r="R78" s="187">
        <f t="shared" ca="1" si="11"/>
        <v>-13476132.642871564</v>
      </c>
      <c r="S78" s="187">
        <f ca="1">IF(B78="","",IF($B$31=0,"",-'Debt Financing Calculations'!E27))</f>
        <v>-5105241.0430421829</v>
      </c>
      <c r="T78" s="187">
        <f t="shared" ca="1" si="12"/>
        <v>13893326.294754177</v>
      </c>
      <c r="U78" s="187">
        <f ca="1">IF(C78="","",IF(C78&lt;-1,0,IF(C78=anal_period,-LOOKUP(C78,depr_yr,depr_cost)-Depreciation!$C$141-Depreciation!$B$166,-LOOKUP(C78,depr_yr,depr_cost))))</f>
        <v>-11134276.710832817</v>
      </c>
      <c r="V78" s="187">
        <f t="shared" ca="1" si="13"/>
        <v>2759049.5839213599</v>
      </c>
      <c r="W78" s="188">
        <f t="shared" si="14"/>
        <v>0.25739999999999996</v>
      </c>
      <c r="X78" s="187">
        <f t="shared" ca="1" si="15"/>
        <v>-710179.36290135793</v>
      </c>
      <c r="Y78" s="187">
        <f t="shared" ca="1" si="16"/>
        <v>13183146.931852819</v>
      </c>
      <c r="Z78" s="187">
        <f>IF(C78="","",IF($B$31=0,"",-'Debt Financing Calculations'!F27))</f>
        <v>0</v>
      </c>
      <c r="AA78" s="187">
        <f t="shared" ca="1" si="17"/>
        <v>10870758.984615447</v>
      </c>
      <c r="AB78" s="187">
        <f t="shared" ca="1" si="23"/>
        <v>72064994.6709259</v>
      </c>
      <c r="AC78" s="1156">
        <f t="shared" ca="1" si="18"/>
        <v>11580938.347516805</v>
      </c>
      <c r="AD78" s="134"/>
      <c r="AE78" s="1160">
        <f t="shared" ca="1" si="19"/>
        <v>124628629.5</v>
      </c>
      <c r="AF78" s="1156">
        <f t="shared" si="20"/>
        <v>0</v>
      </c>
    </row>
    <row r="79" spans="1:32" x14ac:dyDescent="0.25">
      <c r="A79" s="58">
        <f t="shared" si="21"/>
        <v>2026</v>
      </c>
      <c r="B79" s="185">
        <f>IF(MAX($B$65:B78)&lt;(construct+anal_period),B78+1,"")</f>
        <v>15</v>
      </c>
      <c r="C79" s="185">
        <f t="shared" si="22"/>
        <v>12</v>
      </c>
      <c r="D79" s="185">
        <f t="shared" si="1"/>
        <v>12</v>
      </c>
      <c r="E79" s="186">
        <f t="shared" si="2"/>
        <v>1.2300309069207322</v>
      </c>
      <c r="F79" s="59">
        <f t="shared" ca="1" si="3"/>
        <v>172754863.35826305</v>
      </c>
      <c r="G79" s="1169"/>
      <c r="H79" s="1178">
        <f t="shared" si="24"/>
        <v>0</v>
      </c>
      <c r="I79" s="187">
        <f ca="1">IF(OR(C79&lt;0,C79=""),"",-E79*INDEX('Replacement Costs'!$A$16:$H$57,MATCH(C79,'Replacement Costs'!$C$16:$C$57,0),MATCH("Total Yearly Replacement Costs",'Replacement Costs'!$A$16:$H$16,0)))</f>
        <v>-1496483.2425349373</v>
      </c>
      <c r="J79" s="187">
        <f ca="1">IF(AND(C79&gt;=1,C79&lt;anal_period),WorkingCap*SUM(N79:R79)-WorkingCap*SUM(N78:R78),IF(C79&lt;0,0,IF(B79="","",-SUM(J$65:J78))))</f>
        <v>-869318.62235442176</v>
      </c>
      <c r="K79" s="187" t="str">
        <f t="shared" si="4"/>
        <v/>
      </c>
      <c r="L79" s="187" t="str">
        <f t="shared" si="5"/>
        <v/>
      </c>
      <c r="M79" s="187" t="str">
        <f t="shared" si="6"/>
        <v/>
      </c>
      <c r="N79" s="187">
        <f t="shared" ca="1" si="7"/>
        <v>-10744794.478898723</v>
      </c>
      <c r="O79" s="187">
        <f t="shared" ca="1" si="8"/>
        <v>-131788074.61940175</v>
      </c>
      <c r="P79" s="187">
        <f t="shared" ca="1" si="9"/>
        <v>0</v>
      </c>
      <c r="Q79" s="187">
        <f t="shared" ca="1" si="10"/>
        <v>0</v>
      </c>
      <c r="R79" s="187">
        <f t="shared" ca="1" si="11"/>
        <v>-13797743.674590841</v>
      </c>
      <c r="S79" s="187">
        <f ca="1">IF(B79="","",IF($B$31=0,"",-'Debt Financing Calculations'!E28))</f>
        <v>-5105241.0430421829</v>
      </c>
      <c r="T79" s="187">
        <f t="shared" ca="1" si="12"/>
        <v>11319009.54232952</v>
      </c>
      <c r="U79" s="187">
        <f ca="1">IF(C79="","",IF(C79&lt;-1,0,IF(C79=anal_period,-LOOKUP(C79,depr_yr,depr_cost)-Depreciation!$C$141-Depreciation!$B$166,-LOOKUP(C79,depr_yr,depr_cost))))</f>
        <v>-11200973.328012265</v>
      </c>
      <c r="V79" s="187">
        <f t="shared" ca="1" si="13"/>
        <v>118036.21431725472</v>
      </c>
      <c r="W79" s="188">
        <f t="shared" si="14"/>
        <v>0.25739999999999996</v>
      </c>
      <c r="X79" s="187">
        <f t="shared" ca="1" si="15"/>
        <v>-30382.521565261362</v>
      </c>
      <c r="Y79" s="187">
        <f t="shared" ca="1" si="16"/>
        <v>11288627.020764258</v>
      </c>
      <c r="Z79" s="187">
        <f>IF(C79="","",IF($B$31=0,"",-'Debt Financing Calculations'!F28))</f>
        <v>0</v>
      </c>
      <c r="AA79" s="187">
        <f t="shared" ca="1" si="17"/>
        <v>8922825.1558748987</v>
      </c>
      <c r="AB79" s="187">
        <f t="shared" ca="1" si="23"/>
        <v>80987819.826800793</v>
      </c>
      <c r="AC79" s="1156">
        <f t="shared" ca="1" si="18"/>
        <v>8953207.6774401609</v>
      </c>
      <c r="AD79" s="134"/>
      <c r="AE79" s="1160">
        <f t="shared" ca="1" si="19"/>
        <v>124628629.5</v>
      </c>
      <c r="AF79" s="1156">
        <f t="shared" si="20"/>
        <v>0</v>
      </c>
    </row>
    <row r="80" spans="1:32" x14ac:dyDescent="0.25">
      <c r="A80" s="58">
        <f t="shared" si="21"/>
        <v>2027</v>
      </c>
      <c r="B80" s="185">
        <f>IF(MAX($B$65:B79)&lt;(construct+anal_period),B79+1,"")</f>
        <v>16</v>
      </c>
      <c r="C80" s="185">
        <f t="shared" si="22"/>
        <v>13</v>
      </c>
      <c r="D80" s="185">
        <f t="shared" si="1"/>
        <v>13</v>
      </c>
      <c r="E80" s="186">
        <f t="shared" si="2"/>
        <v>1.253401494152226</v>
      </c>
      <c r="F80" s="59">
        <f t="shared" ca="1" si="3"/>
        <v>176037205.76207003</v>
      </c>
      <c r="G80" s="1169"/>
      <c r="H80" s="1178">
        <f t="shared" si="24"/>
        <v>0</v>
      </c>
      <c r="I80" s="187">
        <f ca="1">IF(OR(C80&lt;0,C80=""),"",-E80*INDEX('Replacement Costs'!$A$16:$H$57,MATCH(C80,'Replacement Costs'!$C$16:$C$57,0),MATCH("Total Yearly Replacement Costs",'Replacement Costs'!$A$16:$H$16,0)))</f>
        <v>-1524916.4241431011</v>
      </c>
      <c r="J80" s="187">
        <f ca="1">IF(AND(C80&gt;=1,C80&lt;anal_period),WorkingCap*SUM(N80:R80)-WorkingCap*SUM(N79:R79),IF(C80&lt;0,0,IF(B80="","",-SUM(J$65:J79))))</f>
        <v>-802674.28265350312</v>
      </c>
      <c r="K80" s="187" t="str">
        <f t="shared" si="4"/>
        <v/>
      </c>
      <c r="L80" s="187" t="str">
        <f t="shared" si="5"/>
        <v/>
      </c>
      <c r="M80" s="187" t="str">
        <f t="shared" si="6"/>
        <v/>
      </c>
      <c r="N80" s="187">
        <f t="shared" ca="1" si="7"/>
        <v>-10948945.573997797</v>
      </c>
      <c r="O80" s="187">
        <f t="shared" ca="1" si="8"/>
        <v>-136634638.19959533</v>
      </c>
      <c r="P80" s="187">
        <f t="shared" ca="1" si="9"/>
        <v>0</v>
      </c>
      <c r="Q80" s="187">
        <f t="shared" ca="1" si="10"/>
        <v>0</v>
      </c>
      <c r="R80" s="187">
        <f t="shared" ca="1" si="11"/>
        <v>-14098190.883654913</v>
      </c>
      <c r="S80" s="187">
        <f ca="1">IF(B80="","",IF($B$31=0,"",-'Debt Financing Calculations'!E29))</f>
        <v>-5105241.0430421829</v>
      </c>
      <c r="T80" s="187">
        <f t="shared" ca="1" si="12"/>
        <v>9250190.0617797971</v>
      </c>
      <c r="U80" s="187">
        <f ca="1">IF(C80="","",IF(C80&lt;-1,0,IF(C80=anal_period,-LOOKUP(C80,depr_yr,depr_cost)-Depreciation!$C$141-Depreciation!$B$166,-LOOKUP(C80,depr_yr,depr_cost))))</f>
        <v>-11273636.32717043</v>
      </c>
      <c r="V80" s="187">
        <f t="shared" ca="1" si="13"/>
        <v>-2023446.2653906327</v>
      </c>
      <c r="W80" s="188">
        <f t="shared" si="14"/>
        <v>0.25739999999999996</v>
      </c>
      <c r="X80" s="187">
        <f t="shared" ca="1" si="15"/>
        <v>520835.06871154875</v>
      </c>
      <c r="Y80" s="187">
        <f t="shared" ca="1" si="16"/>
        <v>9771025.1304913461</v>
      </c>
      <c r="Z80" s="187">
        <f>IF(C80="","",IF($B$31=0,"",-'Debt Financing Calculations'!F29))</f>
        <v>0</v>
      </c>
      <c r="AA80" s="187">
        <f t="shared" ca="1" si="17"/>
        <v>7443434.4236947419</v>
      </c>
      <c r="AB80" s="187">
        <f t="shared" ca="1" si="23"/>
        <v>88431254.250495538</v>
      </c>
      <c r="AC80" s="1156">
        <f t="shared" ca="1" si="18"/>
        <v>6922599.3549831929</v>
      </c>
      <c r="AD80" s="134"/>
      <c r="AE80" s="1160">
        <f t="shared" ca="1" si="19"/>
        <v>124628629.5</v>
      </c>
      <c r="AF80" s="1156">
        <f t="shared" si="20"/>
        <v>0</v>
      </c>
    </row>
    <row r="81" spans="1:32" x14ac:dyDescent="0.25">
      <c r="A81" s="58">
        <f t="shared" si="21"/>
        <v>2028</v>
      </c>
      <c r="B81" s="185">
        <f>IF(MAX($B$65:B80)&lt;(construct+anal_period),B80+1,"")</f>
        <v>17</v>
      </c>
      <c r="C81" s="185">
        <f t="shared" si="22"/>
        <v>14</v>
      </c>
      <c r="D81" s="185">
        <f t="shared" si="1"/>
        <v>14</v>
      </c>
      <c r="E81" s="186">
        <f t="shared" si="2"/>
        <v>1.277216122541118</v>
      </c>
      <c r="F81" s="59">
        <f t="shared" ca="1" si="3"/>
        <v>179381912.67154932</v>
      </c>
      <c r="G81" s="1169"/>
      <c r="H81" s="1178">
        <f t="shared" si="24"/>
        <v>0</v>
      </c>
      <c r="I81" s="187">
        <f ca="1">IF(OR(C81&lt;0,C81=""),"",-E81*INDEX('Replacement Costs'!$A$16:$H$57,MATCH(C81,'Replacement Costs'!$C$16:$C$57,0),MATCH("Total Yearly Replacement Costs",'Replacement Costs'!$A$16:$H$16,0)))</f>
        <v>-1553889.8362018196</v>
      </c>
      <c r="J81" s="187">
        <f ca="1">IF(AND(C81&gt;=1,C81&lt;anal_period),WorkingCap*SUM(N81:R81)-WorkingCap*SUM(N80:R80),IF(C81&lt;0,0,IF(B81="","",-SUM(J$65:J80))))</f>
        <v>-822424.47397403046</v>
      </c>
      <c r="K81" s="187" t="str">
        <f t="shared" si="4"/>
        <v/>
      </c>
      <c r="L81" s="187" t="str">
        <f t="shared" si="5"/>
        <v/>
      </c>
      <c r="M81" s="187" t="str">
        <f t="shared" si="6"/>
        <v/>
      </c>
      <c r="N81" s="187">
        <f t="shared" ca="1" si="7"/>
        <v>-11156975.539903754</v>
      </c>
      <c r="O81" s="187">
        <f t="shared" ca="1" si="8"/>
        <v>-141597318.67110443</v>
      </c>
      <c r="P81" s="187">
        <f t="shared" ca="1" si="9"/>
        <v>0</v>
      </c>
      <c r="Q81" s="187">
        <f t="shared" ca="1" si="10"/>
        <v>0</v>
      </c>
      <c r="R81" s="187">
        <f t="shared" ca="1" si="11"/>
        <v>-14410310.272733394</v>
      </c>
      <c r="S81" s="187">
        <f ca="1">IF(B81="","",IF($B$31=0,"",-'Debt Financing Calculations'!E30))</f>
        <v>-5105241.0430421829</v>
      </c>
      <c r="T81" s="187">
        <f t="shared" ca="1" si="12"/>
        <v>7112067.1447655559</v>
      </c>
      <c r="U81" s="187">
        <f ca="1">IF(C81="","",IF(C81&lt;-1,0,IF(C81=anal_period,-LOOKUP(C81,depr_yr,depr_cost)-Depreciation!$C$141-Depreciation!$B$166,-LOOKUP(C81,depr_yr,depr_cost))))</f>
        <v>-11342980.777060291</v>
      </c>
      <c r="V81" s="187">
        <f t="shared" ca="1" si="13"/>
        <v>-4230913.6322947349</v>
      </c>
      <c r="W81" s="188">
        <f t="shared" si="14"/>
        <v>0.25739999999999996</v>
      </c>
      <c r="X81" s="187">
        <f t="shared" ca="1" si="15"/>
        <v>1089037.1689526646</v>
      </c>
      <c r="Y81" s="187">
        <f t="shared" ca="1" si="16"/>
        <v>8201104.3137182202</v>
      </c>
      <c r="Z81" s="187">
        <f>IF(C81="","",IF($B$31=0,"",-'Debt Financing Calculations'!F30))</f>
        <v>0</v>
      </c>
      <c r="AA81" s="187">
        <f t="shared" ca="1" si="17"/>
        <v>5824790.0035423702</v>
      </c>
      <c r="AB81" s="187">
        <f t="shared" ca="1" si="23"/>
        <v>94256044.254037902</v>
      </c>
      <c r="AC81" s="1156">
        <f t="shared" ca="1" si="18"/>
        <v>4735752.8345897058</v>
      </c>
      <c r="AD81" s="134"/>
      <c r="AE81" s="1160">
        <f t="shared" ca="1" si="19"/>
        <v>124628629.5</v>
      </c>
      <c r="AF81" s="1156">
        <f t="shared" si="20"/>
        <v>0</v>
      </c>
    </row>
    <row r="82" spans="1:32" x14ac:dyDescent="0.25">
      <c r="A82" s="58">
        <f t="shared" si="21"/>
        <v>2029</v>
      </c>
      <c r="B82" s="185">
        <f>IF(MAX($B$65:B81)&lt;(construct+anal_period),B81+1,"")</f>
        <v>18</v>
      </c>
      <c r="C82" s="185">
        <f t="shared" si="22"/>
        <v>15</v>
      </c>
      <c r="D82" s="185">
        <f t="shared" si="1"/>
        <v>15</v>
      </c>
      <c r="E82" s="186">
        <f t="shared" si="2"/>
        <v>1.3014832288693996</v>
      </c>
      <c r="F82" s="59">
        <f t="shared" ca="1" si="3"/>
        <v>182790169.01230881</v>
      </c>
      <c r="G82" s="1169"/>
      <c r="H82" s="1178">
        <f t="shared" si="24"/>
        <v>0</v>
      </c>
      <c r="I82" s="187">
        <f ca="1">IF(OR(C82&lt;0,C82=""),"",-E82*INDEX('Replacement Costs'!$A$16:$H$57,MATCH(C82,'Replacement Costs'!$C$16:$C$57,0),MATCH("Total Yearly Replacement Costs",'Replacement Costs'!$A$16:$H$16,0)))</f>
        <v>-1583413.7430896547</v>
      </c>
      <c r="J82" s="187">
        <f ca="1">IF(AND(C82&gt;=1,C82&lt;anal_period),WorkingCap*SUM(N82:R82)-WorkingCap*SUM(N81:R81),IF(C82&lt;0,0,IF(B82="","",-SUM(J$65:J81))))</f>
        <v>-785682.10144732893</v>
      </c>
      <c r="K82" s="187" t="str">
        <f t="shared" si="4"/>
        <v/>
      </c>
      <c r="L82" s="187" t="str">
        <f t="shared" si="5"/>
        <v/>
      </c>
      <c r="M82" s="187" t="str">
        <f t="shared" si="6"/>
        <v/>
      </c>
      <c r="N82" s="187">
        <f t="shared" ca="1" si="7"/>
        <v>-11368958.075161928</v>
      </c>
      <c r="O82" s="187">
        <f t="shared" ca="1" si="8"/>
        <v>-146313991.70991367</v>
      </c>
      <c r="P82" s="187">
        <f t="shared" ca="1" si="9"/>
        <v>0</v>
      </c>
      <c r="Q82" s="187">
        <f t="shared" ca="1" si="10"/>
        <v>0</v>
      </c>
      <c r="R82" s="187">
        <f t="shared" ca="1" si="11"/>
        <v>-14719535.374981498</v>
      </c>
      <c r="S82" s="187">
        <f ca="1">IF(B82="","",IF($B$31=0,"",-'Debt Financing Calculations'!E31))</f>
        <v>-5105241.0430421829</v>
      </c>
      <c r="T82" s="187">
        <f t="shared" ca="1" si="12"/>
        <v>5282442.8092095256</v>
      </c>
      <c r="U82" s="187">
        <f ca="1">IF(C82="","",IF(C82&lt;-1,0,IF(C82=anal_period,-LOOKUP(C82,depr_yr,depr_cost)-Depreciation!$C$141-Depreciation!$B$166,-LOOKUP(C82,depr_yr,depr_cost))))</f>
        <v>-11418341.917750364</v>
      </c>
      <c r="V82" s="187">
        <f t="shared" ca="1" si="13"/>
        <v>-6135899.1085408386</v>
      </c>
      <c r="W82" s="188">
        <f t="shared" si="14"/>
        <v>0.25739999999999996</v>
      </c>
      <c r="X82" s="187">
        <f t="shared" ca="1" si="15"/>
        <v>1579380.4305384117</v>
      </c>
      <c r="Y82" s="187">
        <f t="shared" ca="1" si="16"/>
        <v>6861823.2397479378</v>
      </c>
      <c r="Z82" s="187">
        <f>IF(C82="","",IF($B$31=0,"",-'Debt Financing Calculations'!F31))</f>
        <v>0</v>
      </c>
      <c r="AA82" s="187">
        <f t="shared" ca="1" si="17"/>
        <v>4492727.3952109534</v>
      </c>
      <c r="AB82" s="187">
        <f t="shared" ca="1" si="23"/>
        <v>98748771.649248853</v>
      </c>
      <c r="AC82" s="1156">
        <f t="shared" ca="1" si="18"/>
        <v>2913346.9646725422</v>
      </c>
      <c r="AD82" s="134"/>
      <c r="AE82" s="1160">
        <f t="shared" ca="1" si="19"/>
        <v>124628629.5</v>
      </c>
      <c r="AF82" s="1156">
        <f t="shared" si="20"/>
        <v>0</v>
      </c>
    </row>
    <row r="83" spans="1:32" x14ac:dyDescent="0.25">
      <c r="A83" s="58">
        <f t="shared" si="21"/>
        <v>2030</v>
      </c>
      <c r="B83" s="185">
        <f>IF(MAX($B$65:B82)&lt;(construct+anal_period),B82+1,"")</f>
        <v>19</v>
      </c>
      <c r="C83" s="185">
        <f t="shared" si="22"/>
        <v>16</v>
      </c>
      <c r="D83" s="185">
        <f t="shared" si="1"/>
        <v>16</v>
      </c>
      <c r="E83" s="186">
        <f t="shared" si="2"/>
        <v>1.3262114102179181</v>
      </c>
      <c r="F83" s="59">
        <f t="shared" ca="1" si="3"/>
        <v>186263182.22354266</v>
      </c>
      <c r="G83" s="1169"/>
      <c r="H83" s="1178">
        <f t="shared" si="24"/>
        <v>0</v>
      </c>
      <c r="I83" s="187">
        <f ca="1">IF(OR(C83&lt;0,C83=""),"",-E83*INDEX('Replacement Costs'!$A$16:$H$57,MATCH(C83,'Replacement Costs'!$C$16:$C$57,0),MATCH("Total Yearly Replacement Costs",'Replacement Costs'!$A$16:$H$16,0)))</f>
        <v>-1613498.6042083579</v>
      </c>
      <c r="J83" s="187">
        <f ca="1">IF(AND(C83&gt;=1,C83&lt;anal_period),WorkingCap*SUM(N83:R83)-WorkingCap*SUM(N82:R82),IF(C83&lt;0,0,IF(B83="","",-SUM(J$65:J82))))</f>
        <v>-572475.59472050518</v>
      </c>
      <c r="K83" s="187" t="str">
        <f t="shared" si="4"/>
        <v/>
      </c>
      <c r="L83" s="187" t="str">
        <f t="shared" si="5"/>
        <v/>
      </c>
      <c r="M83" s="187" t="str">
        <f t="shared" si="6"/>
        <v/>
      </c>
      <c r="N83" s="187">
        <f t="shared" ca="1" si="7"/>
        <v>-11584968.278590003</v>
      </c>
      <c r="O83" s="187">
        <f t="shared" ca="1" si="8"/>
        <v>-149609732.7609579</v>
      </c>
      <c r="P83" s="187">
        <f t="shared" ca="1" si="9"/>
        <v>0</v>
      </c>
      <c r="Q83" s="187">
        <f t="shared" ca="1" si="10"/>
        <v>0</v>
      </c>
      <c r="R83" s="187">
        <f t="shared" ca="1" si="11"/>
        <v>-15024288.085312579</v>
      </c>
      <c r="S83" s="187">
        <f ca="1">IF(B83="","",IF($B$31=0,"",-'Debt Financing Calculations'!E32))</f>
        <v>-5105241.0430421829</v>
      </c>
      <c r="T83" s="187">
        <f t="shared" ca="1" si="12"/>
        <v>4938952.055640012</v>
      </c>
      <c r="U83" s="187">
        <f ca="1">IF(C83="","",IF(C83&lt;-1,0,IF(C83=anal_period,-LOOKUP(C83,depr_yr,depr_cost)-Depreciation!$C$141-Depreciation!$B$166,-LOOKUP(C83,depr_yr,depr_cost))))</f>
        <v>-11490435.773861244</v>
      </c>
      <c r="V83" s="187">
        <f t="shared" ca="1" si="13"/>
        <v>-6551483.7182212323</v>
      </c>
      <c r="W83" s="188">
        <f t="shared" si="14"/>
        <v>0.25739999999999996</v>
      </c>
      <c r="X83" s="187">
        <f t="shared" ca="1" si="15"/>
        <v>1686351.9090701449</v>
      </c>
      <c r="Y83" s="187">
        <f t="shared" ca="1" si="16"/>
        <v>6625303.9647101574</v>
      </c>
      <c r="Z83" s="187">
        <f>IF(C83="","",IF($B$31=0,"",-'Debt Financing Calculations'!F32))</f>
        <v>0</v>
      </c>
      <c r="AA83" s="187">
        <f t="shared" ca="1" si="17"/>
        <v>4439329.7657812946</v>
      </c>
      <c r="AB83" s="187">
        <f t="shared" ca="1" si="23"/>
        <v>103188101.41503015</v>
      </c>
      <c r="AC83" s="1156">
        <f t="shared" ca="1" si="18"/>
        <v>2752977.8567111492</v>
      </c>
      <c r="AD83" s="134"/>
      <c r="AE83" s="1160">
        <f t="shared" ca="1" si="19"/>
        <v>124628629.5</v>
      </c>
      <c r="AF83" s="1156">
        <f t="shared" si="20"/>
        <v>0</v>
      </c>
    </row>
    <row r="84" spans="1:32" x14ac:dyDescent="0.25">
      <c r="A84" s="58">
        <f t="shared" si="21"/>
        <v>2031</v>
      </c>
      <c r="B84" s="185">
        <f>IF(MAX($B$65:B83)&lt;(construct+anal_period),B83+1,"")</f>
        <v>20</v>
      </c>
      <c r="C84" s="185">
        <f t="shared" si="22"/>
        <v>17</v>
      </c>
      <c r="D84" s="185">
        <f t="shared" si="1"/>
        <v>17</v>
      </c>
      <c r="E84" s="186">
        <f t="shared" si="2"/>
        <v>1.3514094270120585</v>
      </c>
      <c r="F84" s="59">
        <f t="shared" ca="1" si="3"/>
        <v>189802182.68578997</v>
      </c>
      <c r="G84" s="1169"/>
      <c r="H84" s="1178">
        <f t="shared" si="24"/>
        <v>0</v>
      </c>
      <c r="I84" s="187">
        <f ca="1">IF(OR(C84&lt;0,C84=""),"",-E84*INDEX('Replacement Costs'!$A$16:$H$57,MATCH(C84,'Replacement Costs'!$C$16:$C$57,0),MATCH("Total Yearly Replacement Costs",'Replacement Costs'!$A$16:$H$16,0)))</f>
        <v>-1644155.0776883166</v>
      </c>
      <c r="J84" s="187">
        <f ca="1">IF(AND(C84&gt;=1,C84&lt;anal_period),WorkingCap*SUM(N84:R84)-WorkingCap*SUM(N83:R83),IF(C84&lt;0,0,IF(B84="","",-SUM(J$65:J83))))</f>
        <v>-601756.7489547804</v>
      </c>
      <c r="K84" s="187" t="str">
        <f t="shared" si="4"/>
        <v/>
      </c>
      <c r="L84" s="187" t="str">
        <f t="shared" si="5"/>
        <v/>
      </c>
      <c r="M84" s="187" t="str">
        <f t="shared" si="6"/>
        <v/>
      </c>
      <c r="N84" s="187">
        <f t="shared" ca="1" si="7"/>
        <v>-11805082.675883213</v>
      </c>
      <c r="O84" s="187">
        <f t="shared" ca="1" si="8"/>
        <v>-153106600.63432845</v>
      </c>
      <c r="P84" s="187">
        <f t="shared" ca="1" si="9"/>
        <v>0</v>
      </c>
      <c r="Q84" s="187">
        <f t="shared" ca="1" si="10"/>
        <v>0</v>
      </c>
      <c r="R84" s="187">
        <f t="shared" ca="1" si="11"/>
        <v>-15319017.474347342</v>
      </c>
      <c r="S84" s="187">
        <f ca="1">IF(B84="","",IF($B$31=0,"",-'Debt Financing Calculations'!E33))</f>
        <v>-5105241.0430421829</v>
      </c>
      <c r="T84" s="187">
        <f t="shared" ca="1" si="12"/>
        <v>4466240.8581887782</v>
      </c>
      <c r="U84" s="187">
        <f ca="1">IF(C84="","",IF(C84&lt;-1,0,IF(C84=anal_period,-LOOKUP(C84,depr_yr,depr_cost)-Depreciation!$C$141-Depreciation!$B$166,-LOOKUP(C84,depr_yr,depr_cost))))</f>
        <v>-11568598.559490537</v>
      </c>
      <c r="V84" s="187">
        <f t="shared" ca="1" si="13"/>
        <v>-7102357.7013017591</v>
      </c>
      <c r="W84" s="188">
        <f t="shared" si="14"/>
        <v>0.25739999999999996</v>
      </c>
      <c r="X84" s="187">
        <f t="shared" ca="1" si="15"/>
        <v>1828146.8723150725</v>
      </c>
      <c r="Y84" s="187">
        <f t="shared" ca="1" si="16"/>
        <v>6294387.7305038506</v>
      </c>
      <c r="Z84" s="187">
        <f>IF(C84="","",IF($B$31=0,"",-'Debt Financing Calculations'!F33))</f>
        <v>0</v>
      </c>
      <c r="AA84" s="187">
        <f t="shared" ca="1" si="17"/>
        <v>4048475.9038607534</v>
      </c>
      <c r="AB84" s="187">
        <f t="shared" ca="1" si="23"/>
        <v>107236577.3188909</v>
      </c>
      <c r="AC84" s="1156">
        <f t="shared" ca="1" si="18"/>
        <v>2220329.0315456809</v>
      </c>
      <c r="AD84" s="134"/>
      <c r="AE84" s="1160">
        <f t="shared" ca="1" si="19"/>
        <v>124628629.5</v>
      </c>
      <c r="AF84" s="1156">
        <f t="shared" si="20"/>
        <v>0</v>
      </c>
    </row>
    <row r="85" spans="1:32" x14ac:dyDescent="0.25">
      <c r="A85" s="58">
        <f t="shared" si="21"/>
        <v>2032</v>
      </c>
      <c r="B85" s="185">
        <f>IF(MAX($B$65:B84)&lt;(construct+anal_period),B84+1,"")</f>
        <v>21</v>
      </c>
      <c r="C85" s="185">
        <f t="shared" si="22"/>
        <v>18</v>
      </c>
      <c r="D85" s="185">
        <f t="shared" si="1"/>
        <v>18</v>
      </c>
      <c r="E85" s="186">
        <f t="shared" si="2"/>
        <v>1.3770862061252875</v>
      </c>
      <c r="F85" s="59">
        <f t="shared" ca="1" si="3"/>
        <v>193408424.15681997</v>
      </c>
      <c r="G85" s="1169"/>
      <c r="H85" s="1178">
        <f t="shared" si="24"/>
        <v>0</v>
      </c>
      <c r="I85" s="187">
        <f ca="1">IF(OR(C85&lt;0,C85=""),"",-E85*INDEX('Replacement Costs'!$A$16:$H$57,MATCH(C85,'Replacement Costs'!$C$16:$C$57,0),MATCH("Total Yearly Replacement Costs",'Replacement Costs'!$A$16:$H$16,0)))</f>
        <v>-1675394.0241643947</v>
      </c>
      <c r="J85" s="187">
        <f ca="1">IF(AND(C85&gt;=1,C85&lt;anal_period),WorkingCap*SUM(N85:R85)-WorkingCap*SUM(N84:R84),IF(C85&lt;0,0,IF(B85="","",-SUM(J$65:J84))))</f>
        <v>-452459.02109188214</v>
      </c>
      <c r="K85" s="187" t="str">
        <f t="shared" si="4"/>
        <v/>
      </c>
      <c r="L85" s="187" t="str">
        <f t="shared" si="5"/>
        <v/>
      </c>
      <c r="M85" s="187" t="str">
        <f t="shared" si="6"/>
        <v/>
      </c>
      <c r="N85" s="187">
        <f t="shared" ca="1" si="7"/>
        <v>-12029379.246724993</v>
      </c>
      <c r="O85" s="187">
        <f t="shared" ca="1" si="8"/>
        <v>-155624665.56501278</v>
      </c>
      <c r="P85" s="187">
        <f t="shared" ca="1" si="9"/>
        <v>0</v>
      </c>
      <c r="Q85" s="187">
        <f t="shared" ca="1" si="10"/>
        <v>0</v>
      </c>
      <c r="R85" s="187">
        <f t="shared" ca="1" si="11"/>
        <v>-15593049.44676711</v>
      </c>
      <c r="S85" s="187">
        <f ca="1">IF(B85="","",IF($B$31=0,"",-'Debt Financing Calculations'!E34))</f>
        <v>-5105241.0430421829</v>
      </c>
      <c r="T85" s="187">
        <f t="shared" ca="1" si="12"/>
        <v>5056088.8552728891</v>
      </c>
      <c r="U85" s="187">
        <f ca="1">IF(C85="","",IF(C85&lt;-1,0,IF(C85=anal_period,-LOOKUP(C85,depr_yr,depr_cost)-Depreciation!$C$141-Depreciation!$B$166,-LOOKUP(C85,depr_yr,depr_cost))))</f>
        <v>-11643547.291794484</v>
      </c>
      <c r="V85" s="187">
        <f t="shared" ca="1" si="13"/>
        <v>-6587458.4365215953</v>
      </c>
      <c r="W85" s="188">
        <f t="shared" si="14"/>
        <v>0.25739999999999996</v>
      </c>
      <c r="X85" s="187">
        <f t="shared" ca="1" si="15"/>
        <v>1695611.8015606585</v>
      </c>
      <c r="Y85" s="187">
        <f t="shared" ca="1" si="16"/>
        <v>6751700.6568335481</v>
      </c>
      <c r="Z85" s="187">
        <f>IF(C85="","",IF($B$31=0,"",-'Debt Financing Calculations'!F34))</f>
        <v>0</v>
      </c>
      <c r="AA85" s="187">
        <f t="shared" ca="1" si="17"/>
        <v>4623847.6115772706</v>
      </c>
      <c r="AB85" s="187">
        <f t="shared" ca="1" si="23"/>
        <v>111860424.93046817</v>
      </c>
      <c r="AC85" s="1156">
        <f t="shared" ca="1" si="18"/>
        <v>2928235.8100166125</v>
      </c>
      <c r="AD85" s="134"/>
      <c r="AE85" s="1160">
        <f t="shared" ca="1" si="19"/>
        <v>124628629.5</v>
      </c>
      <c r="AF85" s="1156">
        <f t="shared" si="20"/>
        <v>0</v>
      </c>
    </row>
    <row r="86" spans="1:32" x14ac:dyDescent="0.25">
      <c r="A86" s="58">
        <f t="shared" si="21"/>
        <v>2033</v>
      </c>
      <c r="B86" s="185">
        <f>IF(MAX($B$65:B85)&lt;(construct+anal_period),B85+1,"")</f>
        <v>22</v>
      </c>
      <c r="C86" s="185">
        <f t="shared" si="22"/>
        <v>19</v>
      </c>
      <c r="D86" s="185">
        <f t="shared" si="1"/>
        <v>19</v>
      </c>
      <c r="E86" s="186">
        <f t="shared" si="2"/>
        <v>1.4032508440416678</v>
      </c>
      <c r="F86" s="59">
        <f t="shared" ca="1" si="3"/>
        <v>197083184.21579951</v>
      </c>
      <c r="G86" s="1169"/>
      <c r="H86" s="1178">
        <f t="shared" si="24"/>
        <v>0</v>
      </c>
      <c r="I86" s="187">
        <f ca="1">IF(OR(C86&lt;0,C86=""),"",-E86*INDEX('Replacement Costs'!$A$16:$H$57,MATCH(C86,'Replacement Costs'!$C$16:$C$57,0),MATCH("Total Yearly Replacement Costs",'Replacement Costs'!$A$16:$H$16,0)))</f>
        <v>-1707226.5106235179</v>
      </c>
      <c r="J86" s="187">
        <f ca="1">IF(AND(C86&gt;=1,C86&lt;anal_period),WorkingCap*SUM(N86:R86)-WorkingCap*SUM(N85:R85),IF(C86&lt;0,0,IF(B86="","",-SUM(J$65:J85))))</f>
        <v>-281951.75853260979</v>
      </c>
      <c r="K86" s="187" t="str">
        <f t="shared" si="4"/>
        <v/>
      </c>
      <c r="L86" s="187" t="str">
        <f t="shared" si="5"/>
        <v/>
      </c>
      <c r="M86" s="187" t="str">
        <f t="shared" si="6"/>
        <v/>
      </c>
      <c r="N86" s="187">
        <f t="shared" ca="1" si="7"/>
        <v>-12257937.452412767</v>
      </c>
      <c r="O86" s="187">
        <f t="shared" ca="1" si="8"/>
        <v>-157006642.44790617</v>
      </c>
      <c r="P86" s="187">
        <f t="shared" ca="1" si="9"/>
        <v>0</v>
      </c>
      <c r="Q86" s="187">
        <f t="shared" ca="1" si="10"/>
        <v>0</v>
      </c>
      <c r="R86" s="187">
        <f t="shared" ca="1" si="11"/>
        <v>-15862192.748403376</v>
      </c>
      <c r="S86" s="187">
        <f ca="1">IF(B86="","",IF($B$31=0,"",-'Debt Financing Calculations'!E35))</f>
        <v>-5105241.0430421829</v>
      </c>
      <c r="T86" s="187">
        <f t="shared" ca="1" si="12"/>
        <v>6851170.5240350366</v>
      </c>
      <c r="U86" s="187">
        <f ca="1">IF(C86="","",IF(C86&lt;-1,0,IF(C86=anal_period,-LOOKUP(C86,depr_yr,depr_cost)-Depreciation!$C$141-Depreciation!$B$166,-LOOKUP(C86,depr_yr,depr_cost))))</f>
        <v>-11724619.196264505</v>
      </c>
      <c r="V86" s="187">
        <f t="shared" ca="1" si="13"/>
        <v>-4873448.6722294688</v>
      </c>
      <c r="W86" s="188">
        <f t="shared" si="14"/>
        <v>0.25739999999999996</v>
      </c>
      <c r="X86" s="187">
        <f t="shared" ca="1" si="15"/>
        <v>1254425.6882318652</v>
      </c>
      <c r="Y86" s="187">
        <f t="shared" ca="1" si="16"/>
        <v>8105596.2122669015</v>
      </c>
      <c r="Z86" s="187">
        <f>IF(C86="","",IF($B$31=0,"",-'Debt Financing Calculations'!F35))</f>
        <v>0</v>
      </c>
      <c r="AA86" s="187">
        <f t="shared" ca="1" si="17"/>
        <v>6116417.9431107733</v>
      </c>
      <c r="AB86" s="187">
        <f t="shared" ca="1" si="23"/>
        <v>117976842.87357895</v>
      </c>
      <c r="AC86" s="1156">
        <f t="shared" ca="1" si="18"/>
        <v>4861992.2548789084</v>
      </c>
      <c r="AD86" s="134"/>
      <c r="AE86" s="1160">
        <f t="shared" ca="1" si="19"/>
        <v>124628629.5</v>
      </c>
      <c r="AF86" s="1156">
        <f t="shared" si="20"/>
        <v>0</v>
      </c>
    </row>
    <row r="87" spans="1:32" x14ac:dyDescent="0.25">
      <c r="A87" s="58">
        <f t="shared" si="21"/>
        <v>2034</v>
      </c>
      <c r="B87" s="185">
        <f>IF(MAX($B$65:B86)&lt;(construct+anal_period),B86+1,"")</f>
        <v>23</v>
      </c>
      <c r="C87" s="185">
        <f t="shared" si="22"/>
        <v>20</v>
      </c>
      <c r="D87" s="185">
        <f t="shared" si="1"/>
        <v>20</v>
      </c>
      <c r="E87" s="186">
        <f t="shared" si="2"/>
        <v>1.4299126100784596</v>
      </c>
      <c r="F87" s="59">
        <f t="shared" ca="1" si="3"/>
        <v>200827764.71589974</v>
      </c>
      <c r="G87" s="1169"/>
      <c r="H87" s="1178">
        <f t="shared" si="24"/>
        <v>0</v>
      </c>
      <c r="I87" s="187">
        <f ca="1">IF(OR(C87&lt;0,C87=""),"",-E87*INDEX('Replacement Costs'!$A$16:$H$57,MATCH(C87,'Replacement Costs'!$C$16:$C$57,0),MATCH("Total Yearly Replacement Costs",'Replacement Costs'!$A$16:$H$16,0)))</f>
        <v>-1739663.8143253648</v>
      </c>
      <c r="J87" s="187">
        <f ca="1">IF(AND(C87&gt;=1,C87&lt;anal_period),WorkingCap*SUM(N87:R87)-WorkingCap*SUM(N86:R86),IF(C87&lt;0,0,IF(B87="","",-SUM(J$65:J86))))</f>
        <v>-518132.99765180424</v>
      </c>
      <c r="K87" s="187" t="str">
        <f t="shared" si="4"/>
        <v/>
      </c>
      <c r="L87" s="187" t="str">
        <f t="shared" si="5"/>
        <v/>
      </c>
      <c r="M87" s="187" t="str">
        <f t="shared" si="6"/>
        <v/>
      </c>
      <c r="N87" s="187">
        <f t="shared" ca="1" si="7"/>
        <v>-12490838.26400861</v>
      </c>
      <c r="O87" s="187">
        <f t="shared" ca="1" si="8"/>
        <v>-159948973.37489995</v>
      </c>
      <c r="P87" s="187">
        <f t="shared" ca="1" si="9"/>
        <v>0</v>
      </c>
      <c r="Q87" s="187">
        <f t="shared" ca="1" si="10"/>
        <v>0</v>
      </c>
      <c r="R87" s="187">
        <f t="shared" ca="1" si="11"/>
        <v>-16141180.994159082</v>
      </c>
      <c r="S87" s="187">
        <f ca="1">IF(B87="","",IF($B$31=0,"",-'Debt Financing Calculations'!E36))</f>
        <v>-5105241.0430421829</v>
      </c>
      <c r="T87" s="187">
        <f t="shared" ca="1" si="12"/>
        <v>7141531.0397899151</v>
      </c>
      <c r="U87" s="187">
        <f ca="1">IF(C87="","",IF(C87&lt;-1,0,IF(C87=anal_period,-LOOKUP(C87,depr_yr,depr_cost)-Depreciation!$C$141-Depreciation!$B$166,-LOOKUP(C87,depr_yr,depr_cost))))</f>
        <v>-11802532.320667159</v>
      </c>
      <c r="V87" s="187">
        <f t="shared" ca="1" si="13"/>
        <v>-4661001.2808772437</v>
      </c>
      <c r="W87" s="188">
        <f t="shared" si="14"/>
        <v>0.25739999999999996</v>
      </c>
      <c r="X87" s="187">
        <f t="shared" ca="1" si="15"/>
        <v>1199741.7296978023</v>
      </c>
      <c r="Y87" s="187">
        <f t="shared" ca="1" si="16"/>
        <v>8341272.7694877172</v>
      </c>
      <c r="Z87" s="187">
        <f>IF(C87="","",IF($B$31=0,"",-'Debt Financing Calculations'!F36))</f>
        <v>0</v>
      </c>
      <c r="AA87" s="187">
        <f t="shared" ca="1" si="17"/>
        <v>6083475.9575105486</v>
      </c>
      <c r="AB87" s="187">
        <f t="shared" ca="1" si="23"/>
        <v>124060318.8310895</v>
      </c>
      <c r="AC87" s="1156">
        <f t="shared" ca="1" si="18"/>
        <v>4883734.2278127465</v>
      </c>
      <c r="AD87" s="134"/>
      <c r="AE87" s="1160">
        <f t="shared" ca="1" si="19"/>
        <v>124628629.5</v>
      </c>
      <c r="AF87" s="1156">
        <f t="shared" si="20"/>
        <v>0</v>
      </c>
    </row>
    <row r="88" spans="1:32" x14ac:dyDescent="0.25">
      <c r="A88" s="58">
        <f t="shared" si="21"/>
        <v>2035</v>
      </c>
      <c r="B88" s="185">
        <f>IF(MAX($B$65:B87)&lt;(construct+anal_period),B87+1,"")</f>
        <v>24</v>
      </c>
      <c r="C88" s="185">
        <f t="shared" si="22"/>
        <v>21</v>
      </c>
      <c r="D88" s="185">
        <f t="shared" si="1"/>
        <v>21</v>
      </c>
      <c r="E88" s="186">
        <f t="shared" si="2"/>
        <v>1.4570809496699502</v>
      </c>
      <c r="F88" s="59">
        <f t="shared" ca="1" si="3"/>
        <v>204643492.24550179</v>
      </c>
      <c r="G88" s="1169"/>
      <c r="H88" s="1178">
        <f t="shared" si="24"/>
        <v>0</v>
      </c>
      <c r="I88" s="187">
        <f ca="1">IF(OR(C88&lt;0,C88=""),"",-E88*INDEX('Replacement Costs'!$A$16:$H$57,MATCH(C88,'Replacement Costs'!$C$16:$C$57,0),MATCH("Total Yearly Replacement Costs",'Replacement Costs'!$A$16:$H$16,0)))</f>
        <v>-1772717.4267975467</v>
      </c>
      <c r="J88" s="187">
        <f ca="1">IF(AND(C88&gt;=1,C88&lt;anal_period),WorkingCap*SUM(N88:R88)-WorkingCap*SUM(N87:R87),IF(C88&lt;0,0,IF(B88="","",-SUM(J$65:J87))))</f>
        <v>-921463.5588019006</v>
      </c>
      <c r="K88" s="187" t="str">
        <f t="shared" si="4"/>
        <v/>
      </c>
      <c r="L88" s="187" t="str">
        <f t="shared" si="5"/>
        <v/>
      </c>
      <c r="M88" s="187" t="str">
        <f t="shared" si="6"/>
        <v/>
      </c>
      <c r="N88" s="187">
        <f t="shared" ca="1" si="7"/>
        <v>-12728164.191024773</v>
      </c>
      <c r="O88" s="187">
        <f t="shared" ca="1" si="8"/>
        <v>-165520372.89433342</v>
      </c>
      <c r="P88" s="187">
        <f t="shared" ca="1" si="9"/>
        <v>0</v>
      </c>
      <c r="Q88" s="187">
        <f t="shared" ca="1" si="10"/>
        <v>0</v>
      </c>
      <c r="R88" s="187">
        <f t="shared" ca="1" si="11"/>
        <v>-16475545.939722113</v>
      </c>
      <c r="S88" s="187">
        <f ca="1">IF(B88="","",IF($B$31=0,"",-'Debt Financing Calculations'!E37))</f>
        <v>-5105241.0430421829</v>
      </c>
      <c r="T88" s="187">
        <f t="shared" ca="1" si="12"/>
        <v>4814168.1773792803</v>
      </c>
      <c r="U88" s="187">
        <f ca="1">IF(C88="","",IF(C88&lt;-1,0,IF(C88=anal_period,-LOOKUP(C88,depr_yr,depr_cost)-Depreciation!$C$141-Depreciation!$B$166,-LOOKUP(C88,depr_yr,depr_cost))))</f>
        <v>-6680357.5556757245</v>
      </c>
      <c r="V88" s="187">
        <f t="shared" ca="1" si="13"/>
        <v>-1866189.3782964442</v>
      </c>
      <c r="W88" s="188">
        <f t="shared" si="14"/>
        <v>0.25739999999999996</v>
      </c>
      <c r="X88" s="187">
        <f t="shared" ca="1" si="15"/>
        <v>480357.14597350464</v>
      </c>
      <c r="Y88" s="187">
        <f t="shared" ca="1" si="16"/>
        <v>5294525.3233527848</v>
      </c>
      <c r="Z88" s="187">
        <f>IF(C88="","",IF($B$31=0,"",-'Debt Financing Calculations'!F37))</f>
        <v>0</v>
      </c>
      <c r="AA88" s="187">
        <f t="shared" ca="1" si="17"/>
        <v>2600344.3377533378</v>
      </c>
      <c r="AB88" s="187">
        <f t="shared" ca="1" si="23"/>
        <v>126660663.16884284</v>
      </c>
      <c r="AC88" s="1156">
        <f t="shared" ca="1" si="18"/>
        <v>2119987.1917798333</v>
      </c>
      <c r="AD88" s="134"/>
      <c r="AE88" s="1160">
        <f t="shared" ca="1" si="19"/>
        <v>124628629.5</v>
      </c>
      <c r="AF88" s="1156">
        <f t="shared" si="20"/>
        <v>0</v>
      </c>
    </row>
    <row r="89" spans="1:32" x14ac:dyDescent="0.25">
      <c r="A89" s="58">
        <f t="shared" si="21"/>
        <v>2036</v>
      </c>
      <c r="B89" s="185">
        <f>IF(MAX($B$65:B88)&lt;(construct+anal_period),B88+1,"")</f>
        <v>25</v>
      </c>
      <c r="C89" s="185">
        <f t="shared" si="22"/>
        <v>22</v>
      </c>
      <c r="D89" s="185">
        <f t="shared" si="1"/>
        <v>22</v>
      </c>
      <c r="E89" s="186">
        <f t="shared" si="2"/>
        <v>1.4847654877136791</v>
      </c>
      <c r="F89" s="59">
        <f t="shared" ca="1" si="3"/>
        <v>208531718.59816632</v>
      </c>
      <c r="G89" s="1169"/>
      <c r="H89" s="1178">
        <f t="shared" si="24"/>
        <v>0</v>
      </c>
      <c r="I89" s="187">
        <f ca="1">IF(OR(C89&lt;0,C89=""),"",-E89*INDEX('Replacement Costs'!$A$16:$H$57,MATCH(C89,'Replacement Costs'!$C$16:$C$57,0),MATCH("Total Yearly Replacement Costs",'Replacement Costs'!$A$16:$H$16,0)))</f>
        <v>-1806399.0579066998</v>
      </c>
      <c r="J89" s="187">
        <f ca="1">IF(AND(C89&gt;=1,C89&lt;anal_period),WorkingCap*SUM(N89:R89)-WorkingCap*SUM(N88:R88),IF(C89&lt;0,0,IF(B89="","",-SUM(J$65:J88))))</f>
        <v>-576136.30124124885</v>
      </c>
      <c r="K89" s="187" t="str">
        <f t="shared" si="4"/>
        <v/>
      </c>
      <c r="L89" s="187" t="str">
        <f t="shared" si="5"/>
        <v/>
      </c>
      <c r="M89" s="187" t="str">
        <f t="shared" si="6"/>
        <v/>
      </c>
      <c r="N89" s="187">
        <f t="shared" ca="1" si="7"/>
        <v>-12969999.310654242</v>
      </c>
      <c r="O89" s="187">
        <f t="shared" ca="1" si="8"/>
        <v>-168777303.20594794</v>
      </c>
      <c r="P89" s="187">
        <f t="shared" ca="1" si="9"/>
        <v>0</v>
      </c>
      <c r="Q89" s="187">
        <f t="shared" ca="1" si="10"/>
        <v>0</v>
      </c>
      <c r="R89" s="187">
        <f t="shared" ca="1" si="11"/>
        <v>-16817689.183419809</v>
      </c>
      <c r="S89" s="187">
        <f ca="1">IF(B89="","",IF($B$31=0,"",-'Debt Financing Calculations'!E38))</f>
        <v>-5105241.0430421829</v>
      </c>
      <c r="T89" s="187">
        <f t="shared" ca="1" si="12"/>
        <v>4861485.8551021516</v>
      </c>
      <c r="U89" s="187">
        <f ca="1">IF(C89="","",IF(C89&lt;-1,0,IF(C89=anal_period,-LOOKUP(C89,depr_yr,depr_cost)-Depreciation!$C$141-Depreciation!$B$166,-LOOKUP(C89,depr_yr,depr_cost))))</f>
        <v>-1529756.4453568531</v>
      </c>
      <c r="V89" s="187">
        <f t="shared" ca="1" si="13"/>
        <v>3331729.4097452983</v>
      </c>
      <c r="W89" s="188">
        <f t="shared" si="14"/>
        <v>0.25739999999999996</v>
      </c>
      <c r="X89" s="187">
        <f t="shared" ca="1" si="15"/>
        <v>-857587.15006843966</v>
      </c>
      <c r="Y89" s="187">
        <f t="shared" ca="1" si="16"/>
        <v>4003898.7050337121</v>
      </c>
      <c r="Z89" s="187">
        <f>IF(C89="","",IF($B$31=0,"",-'Debt Financing Calculations'!F38))</f>
        <v>0</v>
      </c>
      <c r="AA89" s="187">
        <f t="shared" ca="1" si="17"/>
        <v>1621363.3458857634</v>
      </c>
      <c r="AB89" s="187">
        <f t="shared" ca="1" si="23"/>
        <v>128282026.51472861</v>
      </c>
      <c r="AC89" s="1156">
        <f t="shared" ca="1" si="18"/>
        <v>2478950.495954203</v>
      </c>
      <c r="AD89" s="134"/>
      <c r="AE89" s="1160">
        <f t="shared" ca="1" si="19"/>
        <v>124628629.5</v>
      </c>
      <c r="AF89" s="1156">
        <f t="shared" si="20"/>
        <v>0</v>
      </c>
    </row>
    <row r="90" spans="1:32" x14ac:dyDescent="0.25">
      <c r="A90" s="58">
        <f t="shared" si="21"/>
        <v>2037</v>
      </c>
      <c r="B90" s="185">
        <f>IF(MAX($B$65:B89)&lt;(construct+anal_period),B89+1,"")</f>
        <v>26</v>
      </c>
      <c r="C90" s="185">
        <f t="shared" si="22"/>
        <v>23</v>
      </c>
      <c r="D90" s="185">
        <f t="shared" si="1"/>
        <v>23</v>
      </c>
      <c r="E90" s="186">
        <f t="shared" si="2"/>
        <v>1.5129760319802392</v>
      </c>
      <c r="F90" s="59">
        <f t="shared" ca="1" si="3"/>
        <v>212493821.25153151</v>
      </c>
      <c r="G90" s="1169"/>
      <c r="H90" s="1178">
        <f t="shared" si="24"/>
        <v>0</v>
      </c>
      <c r="I90" s="187">
        <f ca="1">IF(OR(C90&lt;0,C90=""),"",-E90*INDEX('Replacement Costs'!$A$16:$H$57,MATCH(C90,'Replacement Costs'!$C$16:$C$57,0),MATCH("Total Yearly Replacement Costs",'Replacement Costs'!$A$16:$H$16,0)))</f>
        <v>-1840720.6400069273</v>
      </c>
      <c r="J90" s="187">
        <f ca="1">IF(AND(C90&gt;=1,C90&lt;anal_period),WorkingCap*SUM(N90:R90)-WorkingCap*SUM(N89:R89),IF(C90&lt;0,0,IF(B90="","",-SUM(J$65:J89))))</f>
        <v>-612208.80831618607</v>
      </c>
      <c r="K90" s="187" t="str">
        <f t="shared" si="4"/>
        <v/>
      </c>
      <c r="L90" s="187" t="str">
        <f t="shared" si="5"/>
        <v/>
      </c>
      <c r="M90" s="187" t="str">
        <f t="shared" si="6"/>
        <v/>
      </c>
      <c r="N90" s="187">
        <f t="shared" ca="1" si="7"/>
        <v>-13216429.297556674</v>
      </c>
      <c r="O90" s="187">
        <f t="shared" ca="1" si="8"/>
        <v>-172298919.67563188</v>
      </c>
      <c r="P90" s="187">
        <f t="shared" ca="1" si="9"/>
        <v>0</v>
      </c>
      <c r="Q90" s="187">
        <f t="shared" ca="1" si="10"/>
        <v>0</v>
      </c>
      <c r="R90" s="187">
        <f t="shared" ca="1" si="11"/>
        <v>-17131034.782274663</v>
      </c>
      <c r="S90" s="187">
        <f ca="1">IF(B90="","",IF($B$31=0,"",-'Debt Financing Calculations'!E39))</f>
        <v>-5105241.0430421829</v>
      </c>
      <c r="T90" s="187">
        <f t="shared" ca="1" si="12"/>
        <v>4742196.4530261159</v>
      </c>
      <c r="U90" s="187">
        <f ca="1">IF(C90="","",IF(C90&lt;-1,0,IF(C90=anal_period,-LOOKUP(C90,depr_yr,depr_cost)-Depreciation!$C$141-Depreciation!$B$166,-LOOKUP(C90,depr_yr,depr_cost))))</f>
        <v>-1558821.8178186328</v>
      </c>
      <c r="V90" s="187">
        <f t="shared" ca="1" si="13"/>
        <v>3183374.6352074831</v>
      </c>
      <c r="W90" s="188">
        <f t="shared" si="14"/>
        <v>0.25739999999999996</v>
      </c>
      <c r="X90" s="187">
        <f t="shared" ca="1" si="15"/>
        <v>-819400.63110240607</v>
      </c>
      <c r="Y90" s="187">
        <f t="shared" ca="1" si="16"/>
        <v>3922795.8219237099</v>
      </c>
      <c r="Z90" s="187">
        <f>IF(C90="","",IF($B$31=0,"",-'Debt Financing Calculations'!F39))</f>
        <v>0</v>
      </c>
      <c r="AA90" s="187">
        <f t="shared" ca="1" si="17"/>
        <v>1469866.3736005966</v>
      </c>
      <c r="AB90" s="187">
        <f t="shared" ca="1" si="23"/>
        <v>129751892.88832921</v>
      </c>
      <c r="AC90" s="1156">
        <f t="shared" ca="1" si="18"/>
        <v>2289267.0047030025</v>
      </c>
      <c r="AD90" s="134"/>
      <c r="AE90" s="1160">
        <f t="shared" ca="1" si="19"/>
        <v>124628629.5</v>
      </c>
      <c r="AF90" s="1156">
        <f t="shared" si="20"/>
        <v>0</v>
      </c>
    </row>
    <row r="91" spans="1:32" x14ac:dyDescent="0.25">
      <c r="A91" s="58">
        <f t="shared" si="21"/>
        <v>2038</v>
      </c>
      <c r="B91" s="185">
        <f>IF(MAX($B$65:B90)&lt;(construct+anal_period),B90+1,"")</f>
        <v>27</v>
      </c>
      <c r="C91" s="185">
        <f t="shared" si="22"/>
        <v>24</v>
      </c>
      <c r="D91" s="185">
        <f t="shared" si="1"/>
        <v>24</v>
      </c>
      <c r="E91" s="186">
        <f t="shared" si="2"/>
        <v>1.5417225765878635</v>
      </c>
      <c r="F91" s="59">
        <f t="shared" ca="1" si="3"/>
        <v>216531203.85531056</v>
      </c>
      <c r="G91" s="1169"/>
      <c r="H91" s="1178">
        <f t="shared" si="24"/>
        <v>0</v>
      </c>
      <c r="I91" s="187">
        <f ca="1">IF(OR(C91&lt;0,C91=""),"",-E91*INDEX('Replacement Costs'!$A$16:$H$57,MATCH(C91,'Replacement Costs'!$C$16:$C$57,0),MATCH("Total Yearly Replacement Costs",'Replacement Costs'!$A$16:$H$16,0)))</f>
        <v>-1875694.3321670587</v>
      </c>
      <c r="J91" s="187">
        <f ca="1">IF(AND(C91&gt;=1,C91&lt;anal_period),WorkingCap*SUM(N91:R91)-WorkingCap*SUM(N90:R90),IF(C91&lt;0,0,IF(B91="","",-SUM(J$65:J90))))</f>
        <v>-552157.98091440275</v>
      </c>
      <c r="K91" s="187" t="str">
        <f t="shared" si="4"/>
        <v/>
      </c>
      <c r="L91" s="187" t="str">
        <f t="shared" si="5"/>
        <v/>
      </c>
      <c r="M91" s="187" t="str">
        <f t="shared" si="6"/>
        <v/>
      </c>
      <c r="N91" s="187">
        <f t="shared" ca="1" si="7"/>
        <v>-13467541.45421025</v>
      </c>
      <c r="O91" s="187">
        <f t="shared" ca="1" si="8"/>
        <v>-175401519.3756319</v>
      </c>
      <c r="P91" s="187">
        <f t="shared" ca="1" si="9"/>
        <v>0</v>
      </c>
      <c r="Q91" s="187">
        <f t="shared" ca="1" si="10"/>
        <v>0</v>
      </c>
      <c r="R91" s="187">
        <f t="shared" ca="1" si="11"/>
        <v>-17458376.131717078</v>
      </c>
      <c r="S91" s="187">
        <f ca="1">IF(B91="","",IF($B$31=0,"",-'Debt Financing Calculations'!E40))</f>
        <v>-5105241.0430421829</v>
      </c>
      <c r="T91" s="187">
        <f t="shared" ca="1" si="12"/>
        <v>5098525.8507091403</v>
      </c>
      <c r="U91" s="187">
        <f ca="1">IF(C91="","",IF(C91&lt;-1,0,IF(C91=anal_period,-LOOKUP(C91,depr_yr,depr_cost)-Depreciation!$C$141-Depreciation!$B$166,-LOOKUP(C91,depr_yr,depr_cost))))</f>
        <v>-1588439.4323571872</v>
      </c>
      <c r="V91" s="187">
        <f t="shared" ca="1" si="13"/>
        <v>3510086.4183519529</v>
      </c>
      <c r="W91" s="188">
        <f t="shared" si="14"/>
        <v>0.25739999999999996</v>
      </c>
      <c r="X91" s="187">
        <f t="shared" ca="1" si="15"/>
        <v>-903496.24408379255</v>
      </c>
      <c r="Y91" s="187">
        <f t="shared" ca="1" si="16"/>
        <v>4195029.6066253474</v>
      </c>
      <c r="Z91" s="187">
        <f>IF(C91="","",IF($B$31=0,"",-'Debt Financing Calculations'!F40))</f>
        <v>0</v>
      </c>
      <c r="AA91" s="187">
        <f t="shared" ca="1" si="17"/>
        <v>1767177.2935438864</v>
      </c>
      <c r="AB91" s="187">
        <f t="shared" ca="1" si="23"/>
        <v>131519070.1818731</v>
      </c>
      <c r="AC91" s="1156">
        <f t="shared" ca="1" si="18"/>
        <v>2670673.5376276788</v>
      </c>
      <c r="AD91" s="134"/>
      <c r="AE91" s="1160">
        <f t="shared" ca="1" si="19"/>
        <v>124628629.5</v>
      </c>
      <c r="AF91" s="1156">
        <f t="shared" si="20"/>
        <v>0</v>
      </c>
    </row>
    <row r="92" spans="1:32" x14ac:dyDescent="0.25">
      <c r="A92" s="58">
        <f t="shared" si="21"/>
        <v>2039</v>
      </c>
      <c r="B92" s="185">
        <f>IF(MAX($B$65:B91)&lt;(construct+anal_period),B91+1,"")</f>
        <v>28</v>
      </c>
      <c r="C92" s="185">
        <f t="shared" si="22"/>
        <v>25</v>
      </c>
      <c r="D92" s="185">
        <f t="shared" si="1"/>
        <v>25</v>
      </c>
      <c r="E92" s="186">
        <f t="shared" si="2"/>
        <v>1.5710153055430329</v>
      </c>
      <c r="F92" s="59">
        <f t="shared" ca="1" si="3"/>
        <v>220645296.72856146</v>
      </c>
      <c r="G92" s="1169"/>
      <c r="H92" s="1178">
        <f t="shared" si="24"/>
        <v>0</v>
      </c>
      <c r="I92" s="187">
        <f ca="1">IF(OR(C92&lt;0,C92=""),"",-E92*INDEX('Replacement Costs'!$A$16:$H$57,MATCH(C92,'Replacement Costs'!$C$16:$C$57,0),MATCH("Total Yearly Replacement Costs",'Replacement Costs'!$A$16:$H$16,0)))</f>
        <v>-1911332.5244782327</v>
      </c>
      <c r="J92" s="187">
        <f ca="1">IF(AND(C92&gt;=1,C92&lt;anal_period),WorkingCap*SUM(N92:R92)-WorkingCap*SUM(N91:R91),IF(C92&lt;0,0,IF(B92="","",-SUM(J$65:J91))))</f>
        <v>-690816.84671572223</v>
      </c>
      <c r="K92" s="187" t="str">
        <f t="shared" si="4"/>
        <v/>
      </c>
      <c r="L92" s="187" t="str">
        <f t="shared" si="5"/>
        <v/>
      </c>
      <c r="M92" s="187" t="str">
        <f t="shared" si="6"/>
        <v/>
      </c>
      <c r="N92" s="187">
        <f t="shared" ca="1" si="7"/>
        <v>-13723424.741840243</v>
      </c>
      <c r="O92" s="187">
        <f t="shared" ca="1" si="8"/>
        <v>-179412796.51746228</v>
      </c>
      <c r="P92" s="187">
        <f t="shared" ca="1" si="9"/>
        <v>0</v>
      </c>
      <c r="Q92" s="187">
        <f t="shared" ca="1" si="10"/>
        <v>0</v>
      </c>
      <c r="R92" s="187">
        <f t="shared" ca="1" si="11"/>
        <v>-17796661.3470282</v>
      </c>
      <c r="S92" s="187">
        <f ca="1">IF(B92="","",IF($B$31=0,"",-'Debt Financing Calculations'!E41))</f>
        <v>-5105241.0430421829</v>
      </c>
      <c r="T92" s="187">
        <f t="shared" ca="1" si="12"/>
        <v>4607173.0791885555</v>
      </c>
      <c r="U92" s="187">
        <f ca="1">IF(C92="","",IF(C92&lt;-1,0,IF(C92=anal_period,-LOOKUP(C92,depr_yr,depr_cost)-Depreciation!$C$141-Depreciation!$B$166,-LOOKUP(C92,depr_yr,depr_cost))))</f>
        <v>-1618619.7815719736</v>
      </c>
      <c r="V92" s="187">
        <f t="shared" ca="1" si="13"/>
        <v>2988553.2976165819</v>
      </c>
      <c r="W92" s="188">
        <f t="shared" si="14"/>
        <v>0.25739999999999996</v>
      </c>
      <c r="X92" s="187">
        <f t="shared" ca="1" si="15"/>
        <v>-769253.61880650802</v>
      </c>
      <c r="Y92" s="187">
        <f t="shared" ca="1" si="16"/>
        <v>3837919.4603820476</v>
      </c>
      <c r="Z92" s="187">
        <f>IF(C92="","",IF($B$31=0,"",-'Debt Financing Calculations'!F41))</f>
        <v>0</v>
      </c>
      <c r="AA92" s="187">
        <f t="shared" ca="1" si="17"/>
        <v>1235770.0891880929</v>
      </c>
      <c r="AB92" s="187">
        <f t="shared" ca="1" si="23"/>
        <v>132754840.2710612</v>
      </c>
      <c r="AC92" s="1156">
        <f t="shared" ca="1" si="18"/>
        <v>2005023.7079946008</v>
      </c>
      <c r="AD92" s="134"/>
      <c r="AE92" s="1160">
        <f t="shared" ca="1" si="19"/>
        <v>124628629.5</v>
      </c>
      <c r="AF92" s="1156">
        <f t="shared" si="20"/>
        <v>0</v>
      </c>
    </row>
    <row r="93" spans="1:32" x14ac:dyDescent="0.25">
      <c r="A93" s="58">
        <f t="shared" si="21"/>
        <v>2040</v>
      </c>
      <c r="B93" s="185">
        <f>IF(MAX($B$65:B92)&lt;(construct+anal_period),B92+1,"")</f>
        <v>29</v>
      </c>
      <c r="C93" s="185">
        <f t="shared" si="22"/>
        <v>26</v>
      </c>
      <c r="D93" s="185">
        <f t="shared" si="1"/>
        <v>26</v>
      </c>
      <c r="E93" s="186">
        <f t="shared" si="2"/>
        <v>1.6008645963483503</v>
      </c>
      <c r="F93" s="59">
        <f t="shared" ca="1" si="3"/>
        <v>224837557.36640412</v>
      </c>
      <c r="G93" s="1169"/>
      <c r="H93" s="1178">
        <f t="shared" si="24"/>
        <v>0</v>
      </c>
      <c r="I93" s="187">
        <f ca="1">IF(OR(C93&lt;0,C93=""),"",-E93*INDEX('Replacement Costs'!$A$16:$H$57,MATCH(C93,'Replacement Costs'!$C$16:$C$57,0),MATCH("Total Yearly Replacement Costs",'Replacement Costs'!$A$16:$H$16,0)))</f>
        <v>-1947647.842443319</v>
      </c>
      <c r="J93" s="187">
        <f ca="1">IF(AND(C93&gt;=1,C93&lt;anal_period),WorkingCap*SUM(N93:R93)-WorkingCap*SUM(N92:R92),IF(C93&lt;0,0,IF(B93="","",-SUM(J$65:J92))))</f>
        <v>-390377.59110686556</v>
      </c>
      <c r="K93" s="187" t="str">
        <f t="shared" si="4"/>
        <v/>
      </c>
      <c r="L93" s="187" t="str">
        <f t="shared" si="5"/>
        <v/>
      </c>
      <c r="M93" s="187" t="str">
        <f t="shared" si="6"/>
        <v/>
      </c>
      <c r="N93" s="187">
        <f t="shared" ca="1" si="7"/>
        <v>-13984169.811935207</v>
      </c>
      <c r="O93" s="187">
        <f t="shared" ca="1" si="8"/>
        <v>-181436749.59412587</v>
      </c>
      <c r="P93" s="187">
        <f t="shared" ca="1" si="9"/>
        <v>0</v>
      </c>
      <c r="Q93" s="187">
        <f t="shared" ca="1" si="10"/>
        <v>0</v>
      </c>
      <c r="R93" s="187">
        <f t="shared" ca="1" si="11"/>
        <v>-18114480.474315397</v>
      </c>
      <c r="S93" s="187">
        <f ca="1">IF(B93="","",IF($B$31=0,"",-'Debt Financing Calculations'!E42))</f>
        <v>-5105241.0430421829</v>
      </c>
      <c r="T93" s="187">
        <f t="shared" ca="1" si="12"/>
        <v>6196916.4429854453</v>
      </c>
      <c r="U93" s="187">
        <f ca="1">IF(C93="","",IF(C93&lt;-1,0,IF(C93=anal_period,-LOOKUP(C93,depr_yr,depr_cost)-Depreciation!$C$141-Depreciation!$B$166,-LOOKUP(C93,depr_yr,depr_cost))))</f>
        <v>-1649373.557421841</v>
      </c>
      <c r="V93" s="187">
        <f t="shared" ca="1" si="13"/>
        <v>4547542.8855636045</v>
      </c>
      <c r="W93" s="188">
        <f t="shared" si="14"/>
        <v>0.25739999999999996</v>
      </c>
      <c r="X93" s="187">
        <f t="shared" ca="1" si="15"/>
        <v>-1170537.5387440717</v>
      </c>
      <c r="Y93" s="187">
        <f t="shared" ca="1" si="16"/>
        <v>5026378.9042413738</v>
      </c>
      <c r="Z93" s="187">
        <f>IF(C93="","",IF($B$31=0,"",-'Debt Financing Calculations'!F42))</f>
        <v>0</v>
      </c>
      <c r="AA93" s="187">
        <f t="shared" ca="1" si="17"/>
        <v>2688353.4706911892</v>
      </c>
      <c r="AB93" s="187">
        <f t="shared" ca="1" si="23"/>
        <v>135443193.74175239</v>
      </c>
      <c r="AC93" s="1156">
        <f t="shared" ca="1" si="18"/>
        <v>3858891.0094352607</v>
      </c>
      <c r="AD93" s="134"/>
      <c r="AE93" s="1160">
        <f t="shared" ca="1" si="19"/>
        <v>124628629.5</v>
      </c>
      <c r="AF93" s="1156">
        <f t="shared" si="20"/>
        <v>0</v>
      </c>
    </row>
    <row r="94" spans="1:32" x14ac:dyDescent="0.25">
      <c r="A94" s="58">
        <f t="shared" si="21"/>
        <v>2041</v>
      </c>
      <c r="B94" s="185">
        <f>IF(MAX($B$65:B93)&lt;(construct+anal_period),B93+1,"")</f>
        <v>30</v>
      </c>
      <c r="C94" s="185">
        <f t="shared" si="22"/>
        <v>27</v>
      </c>
      <c r="D94" s="185">
        <f t="shared" si="1"/>
        <v>27</v>
      </c>
      <c r="E94" s="186">
        <f t="shared" si="2"/>
        <v>1.631281023678969</v>
      </c>
      <c r="F94" s="59">
        <f t="shared" ca="1" si="3"/>
        <v>229109470.95636579</v>
      </c>
      <c r="G94" s="1169"/>
      <c r="H94" s="1178">
        <f t="shared" si="24"/>
        <v>0</v>
      </c>
      <c r="I94" s="187">
        <f ca="1">IF(OR(C94&lt;0,C94=""),"",-E94*INDEX('Replacement Costs'!$A$16:$H$57,MATCH(C94,'Replacement Costs'!$C$16:$C$57,0),MATCH("Total Yearly Replacement Costs",'Replacement Costs'!$A$16:$H$16,0)))</f>
        <v>-1984653.151449742</v>
      </c>
      <c r="J94" s="187">
        <f ca="1">IF(AND(C94&gt;=1,C94&lt;anal_period),WorkingCap*SUM(N94:R94)-WorkingCap*SUM(N93:R93),IF(C94&lt;0,0,IF(B94="","",-SUM(J$65:J93))))</f>
        <v>-627119.92042471468</v>
      </c>
      <c r="K94" s="187" t="str">
        <f t="shared" si="4"/>
        <v/>
      </c>
      <c r="L94" s="187" t="str">
        <f t="shared" si="5"/>
        <v/>
      </c>
      <c r="M94" s="187" t="str">
        <f t="shared" si="6"/>
        <v/>
      </c>
      <c r="N94" s="187">
        <f t="shared" ca="1" si="7"/>
        <v>-14249869.038361976</v>
      </c>
      <c r="O94" s="187">
        <f t="shared" ca="1" si="8"/>
        <v>-185033581.54759178</v>
      </c>
      <c r="P94" s="187">
        <f t="shared" ca="1" si="9"/>
        <v>0</v>
      </c>
      <c r="Q94" s="187">
        <f t="shared" ca="1" si="10"/>
        <v>0</v>
      </c>
      <c r="R94" s="187">
        <f t="shared" ca="1" si="11"/>
        <v>-18432748.763920832</v>
      </c>
      <c r="S94" s="187">
        <f ca="1">IF(B94="","",IF($B$31=0,"",-'Debt Financing Calculations'!E43))</f>
        <v>-5105241.0430421829</v>
      </c>
      <c r="T94" s="187">
        <f t="shared" ca="1" si="12"/>
        <v>6288030.5634490252</v>
      </c>
      <c r="U94" s="187">
        <f ca="1">IF(C94="","",IF(C94&lt;-1,0,IF(C94=anal_period,-LOOKUP(C94,depr_yr,depr_cost)-Depreciation!$C$141-Depreciation!$B$166,-LOOKUP(C94,depr_yr,depr_cost))))</f>
        <v>-1680711.6550128558</v>
      </c>
      <c r="V94" s="187">
        <f t="shared" ca="1" si="13"/>
        <v>4607318.9084361698</v>
      </c>
      <c r="W94" s="188">
        <f t="shared" si="14"/>
        <v>0.25739999999999996</v>
      </c>
      <c r="X94" s="187">
        <f t="shared" ca="1" si="15"/>
        <v>-1185923.88703147</v>
      </c>
      <c r="Y94" s="187">
        <f t="shared" ca="1" si="16"/>
        <v>5102106.6764175557</v>
      </c>
      <c r="Z94" s="187">
        <f>IF(C94="","",IF($B$31=0,"",-'Debt Financing Calculations'!F43))</f>
        <v>0</v>
      </c>
      <c r="AA94" s="187">
        <f t="shared" ca="1" si="17"/>
        <v>2490333.6045430987</v>
      </c>
      <c r="AB94" s="187">
        <f t="shared" ca="1" si="23"/>
        <v>137933527.34629548</v>
      </c>
      <c r="AC94" s="1156">
        <f t="shared" ca="1" si="18"/>
        <v>3676257.4915745687</v>
      </c>
      <c r="AD94" s="134"/>
      <c r="AE94" s="1160">
        <f t="shared" ca="1" si="19"/>
        <v>124628629.5</v>
      </c>
      <c r="AF94" s="1156">
        <f t="shared" si="20"/>
        <v>0</v>
      </c>
    </row>
    <row r="95" spans="1:32" x14ac:dyDescent="0.25">
      <c r="A95" s="58">
        <f t="shared" si="21"/>
        <v>2042</v>
      </c>
      <c r="B95" s="185">
        <f>IF(MAX($B$65:B94)&lt;(construct+anal_period),B94+1,"")</f>
        <v>31</v>
      </c>
      <c r="C95" s="185">
        <f t="shared" si="22"/>
        <v>28</v>
      </c>
      <c r="D95" s="185">
        <f t="shared" si="1"/>
        <v>28</v>
      </c>
      <c r="E95" s="186">
        <f t="shared" si="2"/>
        <v>1.6622753631288694</v>
      </c>
      <c r="F95" s="59">
        <f t="shared" ca="1" si="3"/>
        <v>233462550.90453672</v>
      </c>
      <c r="G95" s="1169"/>
      <c r="H95" s="1178">
        <f t="shared" si="24"/>
        <v>0</v>
      </c>
      <c r="I95" s="187">
        <f ca="1">IF(OR(C95&lt;0,C95=""),"",-E95*INDEX('Replacement Costs'!$A$16:$H$57,MATCH(C95,'Replacement Costs'!$C$16:$C$57,0),MATCH("Total Yearly Replacement Costs",'Replacement Costs'!$A$16:$H$16,0)))</f>
        <v>-2022361.5613272872</v>
      </c>
      <c r="J95" s="187">
        <f ca="1">IF(AND(C95&gt;=1,C95&lt;anal_period),WorkingCap*SUM(N95:R95)-WorkingCap*SUM(N94:R94),IF(C95&lt;0,0,IF(B95="","",-SUM(J$65:J94))))</f>
        <v>-894364.71221366152</v>
      </c>
      <c r="K95" s="187" t="str">
        <f t="shared" si="4"/>
        <v/>
      </c>
      <c r="L95" s="187" t="str">
        <f t="shared" si="5"/>
        <v/>
      </c>
      <c r="M95" s="187" t="str">
        <f t="shared" si="6"/>
        <v/>
      </c>
      <c r="N95" s="187">
        <f t="shared" ca="1" si="7"/>
        <v>-14520616.550090853</v>
      </c>
      <c r="O95" s="187">
        <f t="shared" ca="1" si="8"/>
        <v>-190364662.56106323</v>
      </c>
      <c r="P95" s="187">
        <f t="shared" ca="1" si="9"/>
        <v>0</v>
      </c>
      <c r="Q95" s="187">
        <f t="shared" ca="1" si="10"/>
        <v>0</v>
      </c>
      <c r="R95" s="187">
        <f t="shared" ca="1" si="11"/>
        <v>-18793351.653478261</v>
      </c>
      <c r="S95" s="187">
        <f ca="1">IF(B95="","",IF($B$31=0,"",-'Debt Financing Calculations'!E44))</f>
        <v>-5105241.0430421829</v>
      </c>
      <c r="T95" s="187">
        <f t="shared" ca="1" si="12"/>
        <v>4678679.0968621969</v>
      </c>
      <c r="U95" s="187">
        <f ca="1">IF(C95="","",IF(C95&lt;-1,0,IF(C95=anal_period,-LOOKUP(C95,depr_yr,depr_cost)-Depreciation!$C$141-Depreciation!$B$166,-LOOKUP(C95,depr_yr,depr_cost))))</f>
        <v>-1712645.1764581003</v>
      </c>
      <c r="V95" s="187">
        <f t="shared" ca="1" si="13"/>
        <v>2966033.9204040966</v>
      </c>
      <c r="W95" s="188">
        <f t="shared" si="14"/>
        <v>0.25739999999999996</v>
      </c>
      <c r="X95" s="187">
        <f t="shared" ca="1" si="15"/>
        <v>-763457.13111201441</v>
      </c>
      <c r="Y95" s="187">
        <f t="shared" ca="1" si="16"/>
        <v>3915221.9657501825</v>
      </c>
      <c r="Z95" s="187">
        <f>IF(C95="","",IF($B$31=0,"",-'Debt Financing Calculations'!F44))</f>
        <v>0</v>
      </c>
      <c r="AA95" s="187">
        <f t="shared" ca="1" si="17"/>
        <v>998495.692209234</v>
      </c>
      <c r="AB95" s="187">
        <f t="shared" ca="1" si="23"/>
        <v>138932023.03850472</v>
      </c>
      <c r="AC95" s="1156">
        <f t="shared" ca="1" si="18"/>
        <v>1761952.8233212484</v>
      </c>
      <c r="AD95" s="134"/>
      <c r="AE95" s="1160">
        <f t="shared" ca="1" si="19"/>
        <v>124628629.5</v>
      </c>
      <c r="AF95" s="1156">
        <f t="shared" si="20"/>
        <v>0</v>
      </c>
    </row>
    <row r="96" spans="1:32" x14ac:dyDescent="0.25">
      <c r="A96" s="58">
        <f t="shared" si="21"/>
        <v>2043</v>
      </c>
      <c r="B96" s="185">
        <f>IF(MAX($B$65:B95)&lt;(construct+anal_period),B95+1,"")</f>
        <v>32</v>
      </c>
      <c r="C96" s="185">
        <f t="shared" si="22"/>
        <v>29</v>
      </c>
      <c r="D96" s="185">
        <f t="shared" si="1"/>
        <v>29</v>
      </c>
      <c r="E96" s="186">
        <f t="shared" si="2"/>
        <v>1.6938585950283176</v>
      </c>
      <c r="F96" s="59">
        <f t="shared" ca="1" si="3"/>
        <v>237898339.37172288</v>
      </c>
      <c r="G96" s="1169"/>
      <c r="H96" s="1178">
        <f t="shared" si="24"/>
        <v>0</v>
      </c>
      <c r="I96" s="187">
        <f ca="1">IF(OR(C96&lt;0,C96=""),"",-E96*INDEX('Replacement Costs'!$A$16:$H$57,MATCH(C96,'Replacement Costs'!$C$16:$C$57,0),MATCH("Total Yearly Replacement Costs",'Replacement Costs'!$A$16:$H$16,0)))</f>
        <v>-2060786.4309925053</v>
      </c>
      <c r="J96" s="187">
        <f ca="1">IF(AND(C96&gt;=1,C96&lt;anal_period),WorkingCap*SUM(N96:R96)-WorkingCap*SUM(N95:R95),IF(C96&lt;0,0,IF(B96="","",-SUM(J$65:J95))))</f>
        <v>-1066398.5627175644</v>
      </c>
      <c r="K96" s="187" t="str">
        <f t="shared" si="4"/>
        <v/>
      </c>
      <c r="L96" s="187" t="str">
        <f t="shared" si="5"/>
        <v/>
      </c>
      <c r="M96" s="187" t="str">
        <f t="shared" si="6"/>
        <v/>
      </c>
      <c r="N96" s="187">
        <f t="shared" ca="1" si="7"/>
        <v>-14796508.264542576</v>
      </c>
      <c r="O96" s="187">
        <f t="shared" ca="1" si="8"/>
        <v>-196813156.15166616</v>
      </c>
      <c r="P96" s="187">
        <f t="shared" ca="1" si="9"/>
        <v>0</v>
      </c>
      <c r="Q96" s="187">
        <f t="shared" ca="1" si="10"/>
        <v>0</v>
      </c>
      <c r="R96" s="187">
        <f t="shared" ca="1" si="11"/>
        <v>-19178290.099874005</v>
      </c>
      <c r="S96" s="187">
        <f ca="1">IF(B96="","",IF($B$31=0,"",-'Debt Financing Calculations'!E45))</f>
        <v>-5105241.0430421829</v>
      </c>
      <c r="T96" s="187">
        <f t="shared" ca="1" si="12"/>
        <v>2005143.8125979304</v>
      </c>
      <c r="U96" s="187">
        <f ca="1">IF(C96="","",IF(C96&lt;-1,0,IF(C96=anal_period,-LOOKUP(C96,depr_yr,depr_cost)-Depreciation!$C$141-Depreciation!$B$166,-LOOKUP(C96,depr_yr,depr_cost))))</f>
        <v>-1745185.434810804</v>
      </c>
      <c r="V96" s="187">
        <f t="shared" ca="1" si="13"/>
        <v>259958.37778712646</v>
      </c>
      <c r="W96" s="188">
        <f t="shared" si="14"/>
        <v>0.25739999999999996</v>
      </c>
      <c r="X96" s="187">
        <f t="shared" ca="1" si="15"/>
        <v>-66913.286442406345</v>
      </c>
      <c r="Y96" s="187">
        <f t="shared" ca="1" si="16"/>
        <v>1938230.5261555242</v>
      </c>
      <c r="Z96" s="187">
        <f>IF(C96="","",IF($B$31=0,"",-'Debt Financing Calculations'!F45))</f>
        <v>0</v>
      </c>
      <c r="AA96" s="187">
        <f t="shared" ca="1" si="17"/>
        <v>-1188954.4675545457</v>
      </c>
      <c r="AB96" s="187">
        <f t="shared" ca="1" si="23"/>
        <v>137743068.57095018</v>
      </c>
      <c r="AC96" s="1156">
        <f t="shared" ca="1" si="18"/>
        <v>-1122041.1811121395</v>
      </c>
      <c r="AD96" s="134"/>
      <c r="AE96" s="1160">
        <f t="shared" ca="1" si="19"/>
        <v>124628629.5</v>
      </c>
      <c r="AF96" s="1156">
        <f t="shared" si="20"/>
        <v>0</v>
      </c>
    </row>
    <row r="97" spans="1:32" x14ac:dyDescent="0.25">
      <c r="A97" s="58">
        <f t="shared" si="21"/>
        <v>2044</v>
      </c>
      <c r="B97" s="185">
        <f>IF(MAX($B$65:B96)&lt;(construct+anal_period),B96+1,"")</f>
        <v>33</v>
      </c>
      <c r="C97" s="185">
        <f t="shared" si="22"/>
        <v>30</v>
      </c>
      <c r="D97" s="185">
        <f t="shared" ref="D97:D113" si="25">IF(C97="","",IF(C97&lt;=plant_life,C97,IF(D96=plant_life,1,D96+1)))</f>
        <v>30</v>
      </c>
      <c r="E97" s="186">
        <f t="shared" ref="E97:E113" si="26">IF(C97="","",(1+inflation_rate)^(A97-$B$25))</f>
        <v>1.7260419083338554</v>
      </c>
      <c r="F97" s="59">
        <f t="shared" ref="F97:F113" ca="1" si="27">IF(C97="","",IF(C97&lt;0,0,IF(AND(C97=1,start_time&lt;1),E97*(H2_price_nominal*output_kgyear*start_time*percnt_revs+H2_price_nominal*output_kgyear*(1-start_time)),IF(C97&lt;=start_time,H2_price_nominal*E97*output_kgyear*percnt_revs,H2_price_nominal*output_kgyear*E97))))</f>
        <v>242418407.81978559</v>
      </c>
      <c r="G97" s="1169"/>
      <c r="H97" s="1178">
        <f t="shared" si="24"/>
        <v>0</v>
      </c>
      <c r="I97" s="187">
        <f ca="1">IF(OR(C97&lt;0,C97=""),"",-E97*INDEX('Replacement Costs'!$A$16:$H$57,MATCH(C97,'Replacement Costs'!$C$16:$C$57,0),MATCH("Total Yearly Replacement Costs",'Replacement Costs'!$A$16:$H$16,0)))</f>
        <v>-2099941.3731813626</v>
      </c>
      <c r="J97" s="187">
        <f ca="1">IF(AND(C97&gt;=1,C97&lt;anal_period),WorkingCap*SUM(N97:R97)-WorkingCap*SUM(N96:R96),IF(C97&lt;0,0,IF(B97="","",-SUM(J$65:J96))))</f>
        <v>-959660.67549324781</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-15077641.921568884</v>
      </c>
      <c r="O97" s="187">
        <f t="shared" ref="O97:O109" ca="1" si="32">IF(C97="","",IF(C97&lt;0,0,IF(AND(C97=1,start_time&lt;1),-(SUM(B171:E171)*output_kgyear*E97*percnt_var*start_time+SUM(B171:E171)*output_kgyear*E97*(1-start_time)),IF(C97&lt;=start_time,-SUM(B171:E171)*output_kgyear*E97*percnt_var,-SUM(B171:E171)*output_kgyear*E97))))</f>
        <v>-202530208.98662993</v>
      </c>
      <c r="P97" s="187">
        <f t="shared" ref="P97:P113" ca="1"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-19577841.444505624</v>
      </c>
      <c r="S97" s="187">
        <f ca="1">IF(B97="","",IF($B$31=0,"",-'Debt Financing Calculations'!E46))</f>
        <v>-5105241.0430421829</v>
      </c>
      <c r="T97" s="187">
        <f t="shared" ref="T97:T113" ca="1" si="35">IF(C97="","",F97+SUM(L97:S97))</f>
        <v>127474.42403897643</v>
      </c>
      <c r="U97" s="187">
        <f ca="1">IF(C97="","",IF(C97&lt;-1,0,IF(C97=anal_period,-LOOKUP(C97,depr_yr,depr_cost)-Depreciation!$C$141-Depreciation!$B$166,-LOOKUP(C97,depr_yr,depr_cost))))</f>
        <v>-1778343.958072209</v>
      </c>
      <c r="V97" s="187">
        <f t="shared" ref="V97:V113" ca="1" si="36">IF(C97="","",SUM(T97:U97))</f>
        <v>-1650869.5340332326</v>
      </c>
      <c r="W97" s="188">
        <f t="shared" ref="W97:W113" si="37">IF(C97="","",$B$33)</f>
        <v>0.25739999999999996</v>
      </c>
      <c r="X97" s="187">
        <f t="shared" ref="X97:X113" ca="1" si="38">IF(C97="","",tax_credit-(V97*W97 +Upstream_CO2_taxpYear + Proc_CO2_taxpYear))</f>
        <v>424933.81806015404</v>
      </c>
      <c r="Y97" s="187">
        <f t="shared" ref="Y97:Y113" ca="1" si="39">IF(C97="","",SUM(T97,X97))</f>
        <v>552408.24209913053</v>
      </c>
      <c r="Z97" s="187">
        <f>IF(C97="","",IF($B$31=0,"",-'Debt Financing Calculations'!F46))</f>
        <v>0</v>
      </c>
      <c r="AA97" s="187">
        <f t="shared" ref="AA97:AA113" ca="1" si="40">IF(C97="","",SUM(H97,I97,J97,K97,T97,X97,Z97))</f>
        <v>-2507193.8065754799</v>
      </c>
      <c r="AB97" s="187">
        <f t="shared" ca="1" si="23"/>
        <v>135235874.7643747</v>
      </c>
      <c r="AC97" s="1156">
        <f t="shared" ref="AC97:AC113" ca="1" si="41">IF(C97="","",SUM(H97,I97,J97,K97,T97,Z97))</f>
        <v>-2932127.624635634</v>
      </c>
      <c r="AD97" s="134"/>
      <c r="AE97" s="1160">
        <f t="shared" ref="AE97:AE113" ca="1" si="42">IF(C97="","",IF(C97&lt;0,0,IF(AND(C97=1,start_time&lt;1),(output_kgyear*start_time*percnt_revs+output_kgyear*(1-start_time)),IF(C97&lt;=start_time,output_kgyear*percnt_revs,output_kgyear))))</f>
        <v>124628629.5</v>
      </c>
      <c r="AF97" s="1156">
        <f t="shared" ref="AF97:AF113" si="43">IF(C97="","",tax_credit)</f>
        <v>0</v>
      </c>
    </row>
    <row r="98" spans="1:32" x14ac:dyDescent="0.25">
      <c r="A98" s="58">
        <f t="shared" si="21"/>
        <v>2045</v>
      </c>
      <c r="B98" s="185">
        <f>IF(MAX($B$65:B97)&lt;(construct+anal_period),B97+1,"")</f>
        <v>34</v>
      </c>
      <c r="C98" s="185">
        <f t="shared" si="22"/>
        <v>31</v>
      </c>
      <c r="D98" s="185">
        <f t="shared" si="25"/>
        <v>31</v>
      </c>
      <c r="E98" s="186">
        <f t="shared" si="26"/>
        <v>1.7588367045921991</v>
      </c>
      <c r="F98" s="59">
        <f t="shared" ca="1" si="27"/>
        <v>247024357.56836158</v>
      </c>
      <c r="G98" s="1169"/>
      <c r="H98" s="1178">
        <f t="shared" si="24"/>
        <v>0</v>
      </c>
      <c r="I98" s="187">
        <f ca="1">IF(OR(C98&lt;0,C98=""),"",-E98*INDEX('Replacement Costs'!$A$16:$H$57,MATCH(C98,'Replacement Costs'!$C$16:$C$57,0),MATCH("Total Yearly Replacement Costs",'Replacement Costs'!$A$16:$H$16,0)))</f>
        <v>-2139840.2592718089</v>
      </c>
      <c r="J98" s="187">
        <f ca="1">IF(AND(C98&gt;=1,C98&lt;anal_period),WorkingCap*SUM(N98:R98)-WorkingCap*SUM(N97:R97),IF(C98&lt;0,0,IF(B98="","",-SUM(J$65:J97))))</f>
        <v>-1078714.7085611522</v>
      </c>
      <c r="K98" s="187" t="str">
        <f t="shared" si="28"/>
        <v/>
      </c>
      <c r="L98" s="187" t="str">
        <f t="shared" si="29"/>
        <v/>
      </c>
      <c r="M98" s="187" t="str">
        <f t="shared" si="30"/>
        <v/>
      </c>
      <c r="N98" s="187">
        <f t="shared" ca="1" si="31"/>
        <v>-15364117.118078696</v>
      </c>
      <c r="O98" s="187">
        <f t="shared" ca="1" si="32"/>
        <v>-209028316.08645171</v>
      </c>
      <c r="P98" s="187">
        <f t="shared" ca="1" si="33"/>
        <v>0</v>
      </c>
      <c r="Q98" s="187">
        <f t="shared" ca="1" si="10"/>
        <v>0</v>
      </c>
      <c r="R98" s="187">
        <f t="shared" ca="1" si="34"/>
        <v>-19984690.538581669</v>
      </c>
      <c r="S98" s="187">
        <f ca="1">IF(B98="","",IF($B$31=0,"",-'Debt Financing Calculations'!E47))</f>
        <v>-5105241.0430421829</v>
      </c>
      <c r="T98" s="187">
        <f t="shared" ca="1" si="35"/>
        <v>-2458007.2177926898</v>
      </c>
      <c r="U98" s="187">
        <f ca="1">IF(C98="","",IF(C98&lt;-1,0,IF(C98=anal_period,-LOOKUP(C98,depr_yr,depr_cost)-Depreciation!$C$141-Depreciation!$B$166,-LOOKUP(C98,depr_yr,depr_cost))))</f>
        <v>-1812132.4932755807</v>
      </c>
      <c r="V98" s="187">
        <f t="shared" ca="1" si="36"/>
        <v>-4270139.7110682707</v>
      </c>
      <c r="W98" s="188">
        <f t="shared" si="37"/>
        <v>0.25739999999999996</v>
      </c>
      <c r="X98" s="187">
        <f t="shared" ca="1" si="38"/>
        <v>1099133.9616289728</v>
      </c>
      <c r="Y98" s="187">
        <f t="shared" ca="1" si="39"/>
        <v>-1358873.256163717</v>
      </c>
      <c r="Z98" s="187">
        <f>IF(C98="","",IF($B$31=0,"",-'Debt Financing Calculations'!F47))</f>
        <v>0</v>
      </c>
      <c r="AA98" s="187">
        <f t="shared" ca="1" si="40"/>
        <v>-4577428.2239966784</v>
      </c>
      <c r="AB98" s="187">
        <f t="shared" ca="1" si="23"/>
        <v>130658446.54037802</v>
      </c>
      <c r="AC98" s="1156">
        <f t="shared" ca="1" si="41"/>
        <v>-5676562.1856256509</v>
      </c>
      <c r="AD98" s="134"/>
      <c r="AE98" s="1160">
        <f t="shared" ca="1" si="42"/>
        <v>124628629.5</v>
      </c>
      <c r="AF98" s="1156">
        <f t="shared" si="43"/>
        <v>0</v>
      </c>
    </row>
    <row r="99" spans="1:32" x14ac:dyDescent="0.25">
      <c r="A99" s="58">
        <f t="shared" si="21"/>
        <v>2046</v>
      </c>
      <c r="B99" s="185">
        <f>IF(MAX($B$65:B98)&lt;(construct+anal_period),B98+1,"")</f>
        <v>35</v>
      </c>
      <c r="C99" s="185">
        <f t="shared" si="22"/>
        <v>32</v>
      </c>
      <c r="D99" s="185">
        <f t="shared" si="25"/>
        <v>32</v>
      </c>
      <c r="E99" s="186">
        <f t="shared" si="26"/>
        <v>1.7922546019794507</v>
      </c>
      <c r="F99" s="59">
        <f t="shared" ca="1" si="27"/>
        <v>251717820.36216044</v>
      </c>
      <c r="G99" s="1169"/>
      <c r="H99" s="1178">
        <f t="shared" si="24"/>
        <v>0</v>
      </c>
      <c r="I99" s="187">
        <f ca="1">IF(OR(C99&lt;0,C99=""),"",-E99*INDEX('Replacement Costs'!$A$16:$H$57,MATCH(C99,'Replacement Costs'!$C$16:$C$57,0),MATCH("Total Yearly Replacement Costs",'Replacement Costs'!$A$16:$H$16,0)))</f>
        <v>-2180497.224197973</v>
      </c>
      <c r="J99" s="187">
        <f ca="1">IF(AND(C99&gt;=1,C99&lt;anal_period),WorkingCap*SUM(N99:R99)-WorkingCap*SUM(N98:R98),IF(C99&lt;0,0,IF(B99="","",-SUM(J$65:J98))))</f>
        <v>-1011547.2539000288</v>
      </c>
      <c r="K99" s="187" t="str">
        <f t="shared" si="28"/>
        <v/>
      </c>
      <c r="L99" s="187" t="str">
        <f t="shared" si="29"/>
        <v/>
      </c>
      <c r="M99" s="187" t="str">
        <f t="shared" si="30"/>
        <v/>
      </c>
      <c r="N99" s="187">
        <f t="shared" ca="1" si="31"/>
        <v>-15656035.34332219</v>
      </c>
      <c r="O99" s="187">
        <f t="shared" ca="1" si="32"/>
        <v>-215064210.77565929</v>
      </c>
      <c r="P99" s="187">
        <f t="shared" ca="1" si="33"/>
        <v>0</v>
      </c>
      <c r="Q99" s="187">
        <f t="shared" ca="1" si="10"/>
        <v>0</v>
      </c>
      <c r="R99" s="187">
        <f t="shared" ca="1" si="34"/>
        <v>-20400525.983464107</v>
      </c>
      <c r="S99" s="187">
        <f ca="1">IF(B99="","",IF($B$31=0,"",-'Debt Financing Calculations'!E48))</f>
        <v>-5105241.0430421829</v>
      </c>
      <c r="T99" s="187">
        <f t="shared" ca="1" si="35"/>
        <v>-4508192.7833273411</v>
      </c>
      <c r="U99" s="187">
        <f ca="1">IF(C99="","",IF(C99&lt;-1,0,IF(C99=anal_period,-LOOKUP(C99,depr_yr,depr_cost)-Depreciation!$C$141-Depreciation!$B$166,-LOOKUP(C99,depr_yr,depr_cost))))</f>
        <v>-1846563.0106478168</v>
      </c>
      <c r="V99" s="187">
        <f t="shared" ca="1" si="36"/>
        <v>-6354755.7939751577</v>
      </c>
      <c r="W99" s="188">
        <f t="shared" si="37"/>
        <v>0.25739999999999996</v>
      </c>
      <c r="X99" s="187">
        <f t="shared" ca="1" si="38"/>
        <v>1635714.1413692054</v>
      </c>
      <c r="Y99" s="187">
        <f t="shared" ca="1" si="39"/>
        <v>-2872478.6419581356</v>
      </c>
      <c r="Z99" s="187">
        <f>IF(C99="","",IF($B$31=0,"",-'Debt Financing Calculations'!F48))</f>
        <v>0</v>
      </c>
      <c r="AA99" s="187">
        <f t="shared" ca="1" si="40"/>
        <v>-6064523.1200561374</v>
      </c>
      <c r="AB99" s="187">
        <f t="shared" ca="1" si="23"/>
        <v>124593923.42032188</v>
      </c>
      <c r="AC99" s="1156">
        <f t="shared" ca="1" si="41"/>
        <v>-7700237.2614253424</v>
      </c>
      <c r="AD99" s="134"/>
      <c r="AE99" s="1160">
        <f t="shared" ca="1" si="42"/>
        <v>124628629.5</v>
      </c>
      <c r="AF99" s="1156">
        <f t="shared" si="43"/>
        <v>0</v>
      </c>
    </row>
    <row r="100" spans="1:32" x14ac:dyDescent="0.25">
      <c r="A100" s="58">
        <f t="shared" si="21"/>
        <v>2047</v>
      </c>
      <c r="B100" s="185">
        <f>IF(MAX($B$65:B99)&lt;(construct+anal_period),B99+1,"")</f>
        <v>36</v>
      </c>
      <c r="C100" s="185">
        <f t="shared" si="22"/>
        <v>33</v>
      </c>
      <c r="D100" s="185">
        <f t="shared" si="25"/>
        <v>33</v>
      </c>
      <c r="E100" s="186">
        <f t="shared" si="26"/>
        <v>1.8263074394170602</v>
      </c>
      <c r="F100" s="59">
        <f t="shared" ca="1" si="27"/>
        <v>256500458.94904146</v>
      </c>
      <c r="G100" s="1169"/>
      <c r="H100" s="1178">
        <f t="shared" si="24"/>
        <v>0</v>
      </c>
      <c r="I100" s="187">
        <f ca="1">IF(OR(C100&lt;0,C100=""),"",-E100*INDEX('Replacement Costs'!$A$16:$H$57,MATCH(C100,'Replacement Costs'!$C$16:$C$57,0),MATCH("Total Yearly Replacement Costs",'Replacement Costs'!$A$16:$H$16,0)))</f>
        <v>-2221926.6714577344</v>
      </c>
      <c r="J100" s="187">
        <f ca="1">IF(AND(C100&gt;=1,C100&lt;anal_period),WorkingCap*SUM(N100:R100)-WorkingCap*SUM(N99:R99),IF(C100&lt;0,0,IF(B100="","",-SUM(J$65:J99))))</f>
        <v>-1066747.4726222903</v>
      </c>
      <c r="K100" s="187" t="str">
        <f t="shared" si="28"/>
        <v/>
      </c>
      <c r="L100" s="187" t="str">
        <f t="shared" si="29"/>
        <v/>
      </c>
      <c r="M100" s="187" t="str">
        <f t="shared" si="30"/>
        <v/>
      </c>
      <c r="N100" s="187">
        <f t="shared" ca="1" si="31"/>
        <v>-15953500.014845312</v>
      </c>
      <c r="O100" s="187">
        <f t="shared" ca="1" si="32"/>
        <v>-221457751.31352741</v>
      </c>
      <c r="P100" s="187">
        <f t="shared" ca="1" si="33"/>
        <v>0</v>
      </c>
      <c r="Q100" s="187">
        <f t="shared" ca="1" si="10"/>
        <v>0</v>
      </c>
      <c r="R100" s="187">
        <f t="shared" ca="1" si="34"/>
        <v>-20821170.59155485</v>
      </c>
      <c r="S100" s="187">
        <f ca="1">IF(B100="","",IF($B$31=0,"",-'Debt Financing Calculations'!E49))</f>
        <v>-5105241.0430421829</v>
      </c>
      <c r="T100" s="187">
        <f t="shared" ca="1" si="35"/>
        <v>-6837204.0139282942</v>
      </c>
      <c r="U100" s="187">
        <f ca="1">IF(C100="","",IF(C100&lt;-1,0,IF(C100=anal_period,-LOOKUP(C100,depr_yr,depr_cost)-Depreciation!$C$141-Depreciation!$B$166,-LOOKUP(C100,depr_yr,depr_cost))))</f>
        <v>-1881647.7078501249</v>
      </c>
      <c r="V100" s="187">
        <f t="shared" ca="1" si="36"/>
        <v>-8718851.7217784189</v>
      </c>
      <c r="W100" s="188">
        <f t="shared" si="37"/>
        <v>0.25739999999999996</v>
      </c>
      <c r="X100" s="187">
        <f t="shared" ca="1" si="38"/>
        <v>2244232.4331857646</v>
      </c>
      <c r="Y100" s="187">
        <f t="shared" ca="1" si="39"/>
        <v>-4592971.5807425296</v>
      </c>
      <c r="Z100" s="187">
        <f>IF(C100="","",IF($B$31=0,"",-'Debt Financing Calculations'!F49))</f>
        <v>0</v>
      </c>
      <c r="AA100" s="187">
        <f t="shared" ca="1" si="40"/>
        <v>-7881645.7248225538</v>
      </c>
      <c r="AB100" s="187">
        <f t="shared" ca="1" si="23"/>
        <v>116712277.69549933</v>
      </c>
      <c r="AC100" s="1156">
        <f t="shared" ca="1" si="41"/>
        <v>-10125878.158008318</v>
      </c>
      <c r="AD100" s="134"/>
      <c r="AE100" s="1160">
        <f t="shared" ca="1" si="42"/>
        <v>124628629.5</v>
      </c>
      <c r="AF100" s="1156">
        <f t="shared" si="43"/>
        <v>0</v>
      </c>
    </row>
    <row r="101" spans="1:32" x14ac:dyDescent="0.25">
      <c r="A101" s="58">
        <f t="shared" si="21"/>
        <v>2048</v>
      </c>
      <c r="B101" s="185">
        <f>IF(MAX($B$65:B100)&lt;(construct+anal_period),B100+1,"")</f>
        <v>37</v>
      </c>
      <c r="C101" s="185">
        <f t="shared" si="22"/>
        <v>34</v>
      </c>
      <c r="D101" s="185">
        <f t="shared" si="25"/>
        <v>34</v>
      </c>
      <c r="E101" s="186">
        <f t="shared" si="26"/>
        <v>1.8610072807659841</v>
      </c>
      <c r="F101" s="59">
        <f t="shared" ca="1" si="27"/>
        <v>261373967.66907322</v>
      </c>
      <c r="G101" s="1169"/>
      <c r="H101" s="1178">
        <f t="shared" si="24"/>
        <v>0</v>
      </c>
      <c r="I101" s="187">
        <f ca="1">IF(OR(C101&lt;0,C101=""),"",-E101*INDEX('Replacement Costs'!$A$16:$H$57,MATCH(C101,'Replacement Costs'!$C$16:$C$57,0),MATCH("Total Yearly Replacement Costs",'Replacement Costs'!$A$16:$H$16,0)))</f>
        <v>-2264143.2782154311</v>
      </c>
      <c r="J101" s="187">
        <f ca="1">IF(AND(C101&gt;=1,C101&lt;anal_period),WorkingCap*SUM(N101:R101)-WorkingCap*SUM(N100:R100),IF(C101&lt;0,0,IF(B101="","",-SUM(J$65:J100))))</f>
        <v>-1362094.203047663</v>
      </c>
      <c r="K101" s="187" t="str">
        <f t="shared" si="28"/>
        <v/>
      </c>
      <c r="L101" s="187" t="str">
        <f t="shared" si="29"/>
        <v/>
      </c>
      <c r="M101" s="187" t="str">
        <f t="shared" si="30"/>
        <v/>
      </c>
      <c r="N101" s="187">
        <f t="shared" ca="1" si="31"/>
        <v>-16256616.51512737</v>
      </c>
      <c r="O101" s="187">
        <f t="shared" ca="1" si="32"/>
        <v>-229801795.34197465</v>
      </c>
      <c r="P101" s="187">
        <f t="shared" ca="1" si="33"/>
        <v>0</v>
      </c>
      <c r="Q101" s="187">
        <f t="shared" ca="1" si="10"/>
        <v>0</v>
      </c>
      <c r="R101" s="187">
        <f t="shared" ca="1" si="34"/>
        <v>-21254638.083143301</v>
      </c>
      <c r="S101" s="187">
        <f ca="1">IF(B101="","",IF($B$31=0,"",-'Debt Financing Calculations'!E50))</f>
        <v>-5105241.0430421829</v>
      </c>
      <c r="T101" s="187">
        <f t="shared" ca="1" si="35"/>
        <v>-11044323.31421423</v>
      </c>
      <c r="U101" s="187">
        <f ca="1">IF(C101="","",IF(C101&lt;-1,0,IF(C101=anal_period,-LOOKUP(C101,depr_yr,depr_cost)-Depreciation!$C$141-Depreciation!$B$166,-LOOKUP(C101,depr_yr,depr_cost))))</f>
        <v>-1917399.0142992777</v>
      </c>
      <c r="V101" s="187">
        <f t="shared" ca="1" si="36"/>
        <v>-12961722.328513507</v>
      </c>
      <c r="W101" s="188">
        <f t="shared" si="37"/>
        <v>0.25739999999999996</v>
      </c>
      <c r="X101" s="187">
        <f t="shared" ca="1" si="38"/>
        <v>3336347.327359376</v>
      </c>
      <c r="Y101" s="187">
        <f t="shared" ca="1" si="39"/>
        <v>-7707975.9868548531</v>
      </c>
      <c r="Z101" s="187">
        <f>IF(C101="","",IF($B$31=0,"",-'Debt Financing Calculations'!F50))</f>
        <v>0</v>
      </c>
      <c r="AA101" s="187">
        <f t="shared" ca="1" si="40"/>
        <v>-11334213.468117947</v>
      </c>
      <c r="AB101" s="187">
        <f t="shared" ca="1" si="23"/>
        <v>105378064.22738138</v>
      </c>
      <c r="AC101" s="1156">
        <f t="shared" ca="1" si="41"/>
        <v>-14670560.795477323</v>
      </c>
      <c r="AD101" s="134"/>
      <c r="AE101" s="1160">
        <f t="shared" ca="1" si="42"/>
        <v>124628629.5</v>
      </c>
      <c r="AF101" s="1156">
        <f t="shared" si="43"/>
        <v>0</v>
      </c>
    </row>
    <row r="102" spans="1:32" x14ac:dyDescent="0.25">
      <c r="A102" s="58">
        <f t="shared" si="21"/>
        <v>2049</v>
      </c>
      <c r="B102" s="185">
        <f>IF(MAX($B$65:B101)&lt;(construct+anal_period),B101+1,"")</f>
        <v>38</v>
      </c>
      <c r="C102" s="185">
        <f t="shared" si="22"/>
        <v>35</v>
      </c>
      <c r="D102" s="185">
        <f t="shared" si="25"/>
        <v>35</v>
      </c>
      <c r="E102" s="186">
        <f t="shared" si="26"/>
        <v>1.8963664191005378</v>
      </c>
      <c r="F102" s="59">
        <f t="shared" ca="1" si="27"/>
        <v>266340073.05478561</v>
      </c>
      <c r="G102" s="1169"/>
      <c r="H102" s="1178">
        <f t="shared" si="24"/>
        <v>0</v>
      </c>
      <c r="I102" s="187">
        <f ca="1">IF(OR(C102&lt;0,C102=""),"",-E102*INDEX('Replacement Costs'!$A$16:$H$57,MATCH(C102,'Replacement Costs'!$C$16:$C$57,0),MATCH("Total Yearly Replacement Costs",'Replacement Costs'!$A$16:$H$16,0)))</f>
        <v>-2307162.0005015242</v>
      </c>
      <c r="J102" s="187">
        <f ca="1">IF(AND(C102&gt;=1,C102&lt;anal_period),WorkingCap*SUM(N102:R102)-WorkingCap*SUM(N101:R101),IF(C102&lt;0,0,IF(B102="","",-SUM(J$65:J101))))</f>
        <v>-972570.05958444625</v>
      </c>
      <c r="K102" s="187" t="str">
        <f t="shared" si="28"/>
        <v/>
      </c>
      <c r="L102" s="187" t="str">
        <f t="shared" si="29"/>
        <v/>
      </c>
      <c r="M102" s="187" t="str">
        <f t="shared" si="30"/>
        <v/>
      </c>
      <c r="N102" s="187">
        <f t="shared" ca="1" si="31"/>
        <v>-16565492.22891479</v>
      </c>
      <c r="O102" s="187">
        <f t="shared" ca="1" si="32"/>
        <v>-235539452.28411597</v>
      </c>
      <c r="P102" s="187">
        <f t="shared" ca="1" si="33"/>
        <v>0</v>
      </c>
      <c r="Q102" s="187">
        <f t="shared" ca="1" si="10"/>
        <v>0</v>
      </c>
      <c r="R102" s="187">
        <f t="shared" ca="1" si="34"/>
        <v>-21691905.824444178</v>
      </c>
      <c r="S102" s="187">
        <f ca="1">IF(B102="","",IF($B$31=0,"",-'Debt Financing Calculations'!E51))</f>
        <v>-5105241.0430421829</v>
      </c>
      <c r="T102" s="187">
        <f t="shared" ca="1" si="35"/>
        <v>-12562018.325731516</v>
      </c>
      <c r="U102" s="187">
        <f ca="1">IF(C102="","",IF(C102&lt;-1,0,IF(C102=anal_period,-LOOKUP(C102,depr_yr,depr_cost)-Depreciation!$C$141-Depreciation!$B$166,-LOOKUP(C102,depr_yr,depr_cost))))</f>
        <v>-1953829.5955709636</v>
      </c>
      <c r="V102" s="187">
        <f t="shared" ca="1" si="36"/>
        <v>-14515847.921302479</v>
      </c>
      <c r="W102" s="188">
        <f t="shared" si="37"/>
        <v>0.25739999999999996</v>
      </c>
      <c r="X102" s="187">
        <f t="shared" ca="1" si="38"/>
        <v>3736379.2549432577</v>
      </c>
      <c r="Y102" s="187">
        <f t="shared" ca="1" si="39"/>
        <v>-8825639.0707882587</v>
      </c>
      <c r="Z102" s="187">
        <f>IF(C102="","",IF($B$31=0,"",-'Debt Financing Calculations'!F51))</f>
        <v>0</v>
      </c>
      <c r="AA102" s="187">
        <f t="shared" ca="1" si="40"/>
        <v>-12105371.13087423</v>
      </c>
      <c r="AB102" s="187">
        <f t="shared" ca="1" si="23"/>
        <v>93272693.096507147</v>
      </c>
      <c r="AC102" s="1156">
        <f t="shared" ca="1" si="41"/>
        <v>-15841750.385817487</v>
      </c>
      <c r="AD102" s="134"/>
      <c r="AE102" s="1160">
        <f t="shared" ca="1" si="42"/>
        <v>124628629.5</v>
      </c>
      <c r="AF102" s="1156">
        <f t="shared" si="43"/>
        <v>0</v>
      </c>
    </row>
    <row r="103" spans="1:32" x14ac:dyDescent="0.25">
      <c r="A103" s="58">
        <f t="shared" si="21"/>
        <v>2050</v>
      </c>
      <c r="B103" s="185">
        <f>IF(MAX($B$65:B102)&lt;(construct+anal_period),B102+1,"")</f>
        <v>39</v>
      </c>
      <c r="C103" s="185">
        <f t="shared" si="22"/>
        <v>36</v>
      </c>
      <c r="D103" s="185">
        <f t="shared" si="25"/>
        <v>36</v>
      </c>
      <c r="E103" s="186">
        <f t="shared" si="26"/>
        <v>1.932397381063448</v>
      </c>
      <c r="F103" s="59">
        <f t="shared" ca="1" si="27"/>
        <v>271400534.44282657</v>
      </c>
      <c r="G103" s="1169"/>
      <c r="H103" s="1178">
        <f t="shared" si="24"/>
        <v>0</v>
      </c>
      <c r="I103" s="187">
        <f ca="1">IF(OR(C103&lt;0,C103=""),"",-E103*INDEX('Replacement Costs'!$A$16:$H$57,MATCH(C103,'Replacement Costs'!$C$16:$C$57,0),MATCH("Total Yearly Replacement Costs",'Replacement Costs'!$A$16:$H$16,0)))</f>
        <v>-2350998.0785110532</v>
      </c>
      <c r="J103" s="187">
        <f ca="1">IF(AND(C103&gt;=1,C103&lt;anal_period),WorkingCap*SUM(N103:R103)-WorkingCap*SUM(N102:R102),IF(C103&lt;0,0,IF(B103="","",-SUM(J$65:J102))))</f>
        <v>-1241109.1101306677</v>
      </c>
      <c r="K103" s="187" t="str">
        <f t="shared" si="28"/>
        <v/>
      </c>
      <c r="L103" s="187" t="str">
        <f t="shared" si="29"/>
        <v/>
      </c>
      <c r="M103" s="187" t="str">
        <f t="shared" si="30"/>
        <v/>
      </c>
      <c r="N103" s="187">
        <f t="shared" ca="1" si="31"/>
        <v>-16880236.581264172</v>
      </c>
      <c r="O103" s="187">
        <f t="shared" ca="1" si="32"/>
        <v>-243053597.44952637</v>
      </c>
      <c r="P103" s="187">
        <f t="shared" ca="1" si="33"/>
        <v>0</v>
      </c>
      <c r="Q103" s="187">
        <f t="shared" ca="1" si="10"/>
        <v>0</v>
      </c>
      <c r="R103" s="187">
        <f t="shared" ca="1" si="34"/>
        <v>-22137077.04088885</v>
      </c>
      <c r="S103" s="187">
        <f ca="1">IF(B103="","",IF($B$31=0,"",-'Debt Financing Calculations'!E52))</f>
        <v>-5105241.0430421829</v>
      </c>
      <c r="T103" s="187">
        <f t="shared" ca="1" si="35"/>
        <v>-15775617.671895027</v>
      </c>
      <c r="U103" s="187">
        <f ca="1">IF(C103="","",IF(C103&lt;-1,0,IF(C103=anal_period,-LOOKUP(C103,depr_yr,depr_cost)-Depreciation!$C$141-Depreciation!$B$166,-LOOKUP(C103,depr_yr,depr_cost))))</f>
        <v>-1990952.3578868122</v>
      </c>
      <c r="V103" s="187">
        <f t="shared" ca="1" si="36"/>
        <v>-17766570.029781841</v>
      </c>
      <c r="W103" s="188">
        <f t="shared" si="37"/>
        <v>0.25739999999999996</v>
      </c>
      <c r="X103" s="187">
        <f t="shared" ca="1" si="38"/>
        <v>4573115.1256658453</v>
      </c>
      <c r="Y103" s="187">
        <f t="shared" ca="1" si="39"/>
        <v>-11202502.546229182</v>
      </c>
      <c r="Z103" s="187">
        <f>IF(C103="","",IF($B$31=0,"",-'Debt Financing Calculations'!F52))</f>
        <v>0</v>
      </c>
      <c r="AA103" s="187">
        <f t="shared" ca="1" si="40"/>
        <v>-14794609.734870901</v>
      </c>
      <c r="AB103" s="187">
        <f t="shared" ca="1" si="23"/>
        <v>78478083.361636251</v>
      </c>
      <c r="AC103" s="1156">
        <f t="shared" ca="1" si="41"/>
        <v>-19367724.860536747</v>
      </c>
      <c r="AD103" s="134"/>
      <c r="AE103" s="1160">
        <f t="shared" ca="1" si="42"/>
        <v>124628629.5</v>
      </c>
      <c r="AF103" s="1156">
        <f t="shared" si="43"/>
        <v>0</v>
      </c>
    </row>
    <row r="104" spans="1:32" x14ac:dyDescent="0.25">
      <c r="A104" s="58">
        <f t="shared" si="21"/>
        <v>2051</v>
      </c>
      <c r="B104" s="185">
        <f>IF(MAX($B$65:B103)&lt;(construct+anal_period),B103+1,"")</f>
        <v>40</v>
      </c>
      <c r="C104" s="185">
        <f t="shared" si="22"/>
        <v>37</v>
      </c>
      <c r="D104" s="185">
        <f t="shared" si="25"/>
        <v>37</v>
      </c>
      <c r="E104" s="186">
        <f t="shared" si="26"/>
        <v>1.9691129313036535</v>
      </c>
      <c r="F104" s="59">
        <f t="shared" ca="1" si="27"/>
        <v>276557144.59724021</v>
      </c>
      <c r="G104" s="1169"/>
      <c r="H104" s="1178">
        <f t="shared" si="24"/>
        <v>0</v>
      </c>
      <c r="I104" s="187">
        <f ca="1">IF(OR(C104&lt;0,C104=""),"",-E104*INDEX('Replacement Costs'!$A$16:$H$57,MATCH(C104,'Replacement Costs'!$C$16:$C$57,0),MATCH("Total Yearly Replacement Costs",'Replacement Costs'!$A$16:$H$16,0)))</f>
        <v>-2395667.0420027631</v>
      </c>
      <c r="J104" s="187">
        <f ca="1">IF(AND(C104&gt;=1,C104&lt;anal_period),WorkingCap*SUM(N104:R104)-WorkingCap*SUM(N103:R103),IF(C104&lt;0,0,IF(B104="","",-SUM(J$65:J103))))</f>
        <v>-1011919.944799833</v>
      </c>
      <c r="K104" s="187" t="str">
        <f t="shared" si="28"/>
        <v/>
      </c>
      <c r="L104" s="187" t="str">
        <f t="shared" si="29"/>
        <v/>
      </c>
      <c r="M104" s="187" t="str">
        <f t="shared" si="30"/>
        <v/>
      </c>
      <c r="N104" s="187">
        <f t="shared" ca="1" si="31"/>
        <v>-17200961.076308191</v>
      </c>
      <c r="O104" s="187">
        <f t="shared" ca="1" si="32"/>
        <v>-249048506.85337523</v>
      </c>
      <c r="P104" s="187">
        <f t="shared" ca="1" si="33"/>
        <v>0</v>
      </c>
      <c r="Q104" s="187">
        <f t="shared" ca="1" si="10"/>
        <v>0</v>
      </c>
      <c r="R104" s="187">
        <f t="shared" ca="1" si="34"/>
        <v>-22567576.107328199</v>
      </c>
      <c r="S104" s="187">
        <f ca="1">IF(B104="","",IF($B$31=0,"",-'Debt Financing Calculations'!E53))</f>
        <v>-5105241.0430421829</v>
      </c>
      <c r="T104" s="187">
        <f t="shared" ca="1" si="35"/>
        <v>-17365140.482813597</v>
      </c>
      <c r="U104" s="187">
        <f ca="1">IF(C104="","",IF(C104&lt;-1,0,IF(C104=anal_period,-LOOKUP(C104,depr_yr,depr_cost)-Depreciation!$C$141-Depreciation!$B$166,-LOOKUP(C104,depr_yr,depr_cost))))</f>
        <v>-2028780.4526866616</v>
      </c>
      <c r="V104" s="187">
        <f t="shared" ca="1" si="36"/>
        <v>-19393920.935500257</v>
      </c>
      <c r="W104" s="188">
        <f t="shared" si="37"/>
        <v>0.25739999999999996</v>
      </c>
      <c r="X104" s="187">
        <f t="shared" ca="1" si="38"/>
        <v>4991995.248797765</v>
      </c>
      <c r="Y104" s="187">
        <f t="shared" ca="1" si="39"/>
        <v>-12373145.234015832</v>
      </c>
      <c r="Z104" s="187">
        <f>IF(C104="","",IF($B$31=0,"",-'Debt Financing Calculations'!F53))</f>
        <v>0</v>
      </c>
      <c r="AA104" s="187">
        <f t="shared" ca="1" si="40"/>
        <v>-15780732.220818428</v>
      </c>
      <c r="AB104" s="187">
        <f t="shared" ca="1" si="23"/>
        <v>62697351.140817821</v>
      </c>
      <c r="AC104" s="1156">
        <f t="shared" ca="1" si="41"/>
        <v>-20772727.469616193</v>
      </c>
      <c r="AD104" s="134"/>
      <c r="AE104" s="1160">
        <f t="shared" ca="1" si="42"/>
        <v>124628629.5</v>
      </c>
      <c r="AF104" s="1156">
        <f t="shared" si="43"/>
        <v>0</v>
      </c>
    </row>
    <row r="105" spans="1:32" x14ac:dyDescent="0.25">
      <c r="A105" s="58">
        <f t="shared" si="21"/>
        <v>2052</v>
      </c>
      <c r="B105" s="185">
        <f>IF(MAX($B$65:B104)&lt;(construct+anal_period),B104+1,"")</f>
        <v>41</v>
      </c>
      <c r="C105" s="185">
        <f t="shared" si="22"/>
        <v>38</v>
      </c>
      <c r="D105" s="185">
        <f t="shared" si="25"/>
        <v>38</v>
      </c>
      <c r="E105" s="186">
        <f t="shared" si="26"/>
        <v>2.0065260769984223</v>
      </c>
      <c r="F105" s="59">
        <f t="shared" ca="1" si="27"/>
        <v>281811730.34458774</v>
      </c>
      <c r="G105" s="1169"/>
      <c r="H105" s="1178">
        <f t="shared" si="24"/>
        <v>0</v>
      </c>
      <c r="I105" s="187">
        <f ca="1">IF(OR(C105&lt;0,C105=""),"",-E105*INDEX('Replacement Costs'!$A$16:$H$57,MATCH(C105,'Replacement Costs'!$C$16:$C$57,0),MATCH("Total Yearly Replacement Costs",'Replacement Costs'!$A$16:$H$16,0)))</f>
        <v>-2441184.7158008153</v>
      </c>
      <c r="J105" s="187">
        <f ca="1">IF(AND(C105&gt;=1,C105&lt;anal_period),WorkingCap*SUM(N105:R105)-WorkingCap*SUM(N104:R104),IF(C105&lt;0,0,IF(B105="","",-SUM(J$65:J104))))</f>
        <v>-1036270.1412709579</v>
      </c>
      <c r="K105" s="187" t="str">
        <f t="shared" si="28"/>
        <v/>
      </c>
      <c r="L105" s="187" t="str">
        <f t="shared" si="29"/>
        <v/>
      </c>
      <c r="M105" s="187" t="str">
        <f t="shared" si="30"/>
        <v/>
      </c>
      <c r="N105" s="187">
        <f t="shared" ca="1" si="31"/>
        <v>-17527779.33675804</v>
      </c>
      <c r="O105" s="187">
        <f t="shared" ca="1" si="32"/>
        <v>-255191280.5107775</v>
      </c>
      <c r="P105" s="187">
        <f t="shared" ca="1" si="33"/>
        <v>0</v>
      </c>
      <c r="Q105" s="187">
        <f t="shared" ca="1" si="10"/>
        <v>0</v>
      </c>
      <c r="R105" s="187">
        <f t="shared" ca="1" si="34"/>
        <v>-23006451.797949139</v>
      </c>
      <c r="S105" s="187">
        <f ca="1">IF(B105="","",IF($B$31=0,"",-'Debt Financing Calculations'!E54))</f>
        <v>-5105241.0430421829</v>
      </c>
      <c r="T105" s="187">
        <f t="shared" ca="1" si="35"/>
        <v>-19019022.343939126</v>
      </c>
      <c r="U105" s="187">
        <f ca="1">IF(C105="","",IF(C105&lt;-1,0,IF(C105=anal_period,-LOOKUP(C105,depr_yr,depr_cost)-Depreciation!$C$141-Depreciation!$B$166,-LOOKUP(C105,depr_yr,depr_cost))))</f>
        <v>-2067327.2812877076</v>
      </c>
      <c r="V105" s="187">
        <f t="shared" ca="1" si="36"/>
        <v>-21086349.625226833</v>
      </c>
      <c r="W105" s="188">
        <f t="shared" si="37"/>
        <v>0.25739999999999996</v>
      </c>
      <c r="X105" s="187">
        <f t="shared" ca="1" si="38"/>
        <v>5427626.3935333863</v>
      </c>
      <c r="Y105" s="187">
        <f t="shared" ca="1" si="39"/>
        <v>-13591395.950405739</v>
      </c>
      <c r="Z105" s="187">
        <f>IF(C105="","",IF($B$31=0,"",-'Debt Financing Calculations'!F54))</f>
        <v>0</v>
      </c>
      <c r="AA105" s="187">
        <f t="shared" ca="1" si="40"/>
        <v>-17068850.807477511</v>
      </c>
      <c r="AB105" s="187">
        <f t="shared" ca="1" si="23"/>
        <v>45628500.33334031</v>
      </c>
      <c r="AC105" s="1156">
        <f t="shared" ca="1" si="41"/>
        <v>-22496477.201010898</v>
      </c>
      <c r="AD105" s="134"/>
      <c r="AE105" s="1160">
        <f t="shared" ca="1" si="42"/>
        <v>124628629.5</v>
      </c>
      <c r="AF105" s="1156">
        <f t="shared" si="43"/>
        <v>0</v>
      </c>
    </row>
    <row r="106" spans="1:32" x14ac:dyDescent="0.25">
      <c r="A106" s="58">
        <f t="shared" si="21"/>
        <v>2053</v>
      </c>
      <c r="B106" s="185">
        <f>IF(MAX($B$65:B105)&lt;(construct+anal_period),B105+1,"")</f>
        <v>42</v>
      </c>
      <c r="C106" s="185">
        <f t="shared" si="22"/>
        <v>39</v>
      </c>
      <c r="D106" s="185">
        <f t="shared" si="25"/>
        <v>39</v>
      </c>
      <c r="E106" s="186">
        <f t="shared" si="26"/>
        <v>2.0446500724613927</v>
      </c>
      <c r="F106" s="59">
        <f t="shared" ca="1" si="27"/>
        <v>287166153.22113496</v>
      </c>
      <c r="G106" s="1169"/>
      <c r="H106" s="1178">
        <f t="shared" si="24"/>
        <v>0</v>
      </c>
      <c r="I106" s="187">
        <f ca="1">IF(OR(C106&lt;0,C106=""),"",-E106*INDEX('Replacement Costs'!$A$16:$H$57,MATCH(C106,'Replacement Costs'!$C$16:$C$57,0),MATCH("Total Yearly Replacement Costs",'Replacement Costs'!$A$16:$H$16,0)))</f>
        <v>-2487567.2254010309</v>
      </c>
      <c r="J106" s="187">
        <f ca="1">IF(AND(C106&gt;=1,C106&lt;anal_period),WorkingCap*SUM(N106:R106)-WorkingCap*SUM(N105:R105),IF(C106&lt;0,0,IF(B106="","",-SUM(J$65:J105))))</f>
        <v>-1061209.227616936</v>
      </c>
      <c r="K106" s="187" t="str">
        <f t="shared" si="28"/>
        <v/>
      </c>
      <c r="L106" s="187" t="str">
        <f t="shared" si="29"/>
        <v/>
      </c>
      <c r="M106" s="187" t="str">
        <f t="shared" si="30"/>
        <v/>
      </c>
      <c r="N106" s="187">
        <f t="shared" ca="1" si="31"/>
        <v>-17860807.144156445</v>
      </c>
      <c r="O106" s="187">
        <f t="shared" ca="1" si="32"/>
        <v>-261485565.48893747</v>
      </c>
      <c r="P106" s="187">
        <f t="shared" ca="1" si="33"/>
        <v>0</v>
      </c>
      <c r="Q106" s="187">
        <f t="shared" ca="1" si="10"/>
        <v>0</v>
      </c>
      <c r="R106" s="187">
        <f t="shared" ca="1" si="34"/>
        <v>-23453867.196503725</v>
      </c>
      <c r="S106" s="187">
        <f ca="1">IF(B106="","",IF($B$31=0,"",-'Debt Financing Calculations'!E55))</f>
        <v>-5105241.0430421829</v>
      </c>
      <c r="T106" s="187">
        <f ca="1">IF(C106="","",F106+SUM(L106:S106))</f>
        <v>-20739327.651504815</v>
      </c>
      <c r="U106" s="187">
        <f ca="1">IF(C106="","",IF(C106&lt;-1,0,IF(C106=anal_period,-LOOKUP(C106,depr_yr,depr_cost)-Depreciation!$C$141-Depreciation!$B$166,-LOOKUP(C106,depr_yr,depr_cost))))</f>
        <v>-2106606.4996321741</v>
      </c>
      <c r="V106" s="187">
        <f t="shared" ca="1" si="36"/>
        <v>-22845934.151136987</v>
      </c>
      <c r="W106" s="188">
        <f t="shared" si="37"/>
        <v>0.25739999999999996</v>
      </c>
      <c r="X106" s="187">
        <f t="shared" ca="1" si="38"/>
        <v>5880543.4505026592</v>
      </c>
      <c r="Y106" s="187">
        <f t="shared" ca="1" si="39"/>
        <v>-14858784.201002154</v>
      </c>
      <c r="Z106" s="187">
        <f>IF(C106="","",IF($B$31=0,"",-'Debt Financing Calculations'!F55))</f>
        <v>0</v>
      </c>
      <c r="AA106" s="187">
        <f t="shared" ca="1" si="40"/>
        <v>-18407560.654020119</v>
      </c>
      <c r="AB106" s="187">
        <f t="shared" ca="1" si="23"/>
        <v>27220939.67932019</v>
      </c>
      <c r="AC106" s="1156">
        <f ca="1">IF(C106="","",SUM(H106,I106,J106,K106,T106,Z106))</f>
        <v>-24288104.10452278</v>
      </c>
      <c r="AD106" s="134"/>
      <c r="AE106" s="1160">
        <f t="shared" ca="1" si="42"/>
        <v>124628629.5</v>
      </c>
      <c r="AF106" s="1156">
        <f t="shared" si="43"/>
        <v>0</v>
      </c>
    </row>
    <row r="107" spans="1:32" x14ac:dyDescent="0.25">
      <c r="A107" s="58">
        <f t="shared" si="21"/>
        <v>2054</v>
      </c>
      <c r="B107" s="185">
        <f>IF(MAX($B$65:B106)&lt;(construct+anal_period),B106+1,"")</f>
        <v>43</v>
      </c>
      <c r="C107" s="185">
        <f t="shared" si="22"/>
        <v>40</v>
      </c>
      <c r="D107" s="185">
        <f t="shared" si="25"/>
        <v>40</v>
      </c>
      <c r="E107" s="186">
        <f t="shared" si="26"/>
        <v>2.0834984238381593</v>
      </c>
      <c r="F107" s="59">
        <f t="shared" ca="1" si="27"/>
        <v>292622310.1323365</v>
      </c>
      <c r="G107" s="1169"/>
      <c r="H107" s="1178">
        <f t="shared" si="24"/>
        <v>0</v>
      </c>
      <c r="I107" s="187">
        <f ca="1">IF(OR(C107&lt;0,C107=""),"",-E107*INDEX('Replacement Costs'!$A$16:$H$57,MATCH(C107,'Replacement Costs'!$C$16:$C$57,0),MATCH("Total Yearly Replacement Costs",'Replacement Costs'!$A$16:$H$16,0)))</f>
        <v>-2534831.0026836507</v>
      </c>
      <c r="J107" s="187">
        <f ca="1">IF(AND(C107&gt;=1,C107&lt;anal_period),WorkingCap*SUM(N107:R107)-WorkingCap*SUM(N106:R106),IF(C107&lt;0,0,IF(B107="","",-SUM(J$65:J106))))</f>
        <v>45420035.974439636</v>
      </c>
      <c r="K107" s="187" t="str">
        <f t="shared" si="28"/>
        <v/>
      </c>
      <c r="L107" s="187">
        <f t="shared" ca="1" si="29"/>
        <v>50809149.843072563</v>
      </c>
      <c r="M107" s="187">
        <f t="shared" ca="1" si="30"/>
        <v>-50696620.053673021</v>
      </c>
      <c r="N107" s="187">
        <f t="shared" ca="1" si="31"/>
        <v>-18200162.47989542</v>
      </c>
      <c r="O107" s="187">
        <f t="shared" ca="1" si="32"/>
        <v>-267935098.8098582</v>
      </c>
      <c r="P107" s="187">
        <f t="shared" ca="1" si="33"/>
        <v>0</v>
      </c>
      <c r="Q107" s="187">
        <f t="shared" ca="1" si="10"/>
        <v>0</v>
      </c>
      <c r="R107" s="187">
        <f t="shared" ca="1" si="34"/>
        <v>-23909988.563595317</v>
      </c>
      <c r="S107" s="187">
        <f ca="1">IF(B107="","",IF($B$31=0,"",-'Debt Financing Calculations'!E56))</f>
        <v>-5105241.0430421829</v>
      </c>
      <c r="T107" s="187">
        <f t="shared" ca="1" si="35"/>
        <v>-22415650.974655032</v>
      </c>
      <c r="U107" s="187">
        <f ca="1">IF(C107="","",IF(C107&lt;-1,0,IF(C107=anal_period,-LOOKUP(C107,depr_yr,depr_cost)-Depreciation!$C$141-Depreciation!$B$166,-LOOKUP(C107,depr_yr,depr_cost))))</f>
        <v>-22966356.242602896</v>
      </c>
      <c r="V107" s="187">
        <f t="shared" ca="1" si="36"/>
        <v>-45382007.217257932</v>
      </c>
      <c r="W107" s="188">
        <f t="shared" si="37"/>
        <v>0.25739999999999996</v>
      </c>
      <c r="X107" s="187">
        <f t="shared" ca="1" si="38"/>
        <v>11681328.65772219</v>
      </c>
      <c r="Y107" s="187">
        <f t="shared" ca="1" si="39"/>
        <v>-10734322.316932842</v>
      </c>
      <c r="Z107" s="187">
        <f ca="1">IF(C107="","",IF($B$31=0,"",-'Debt Financing Calculations'!F56))</f>
        <v>-137979487.64978874</v>
      </c>
      <c r="AA107" s="187">
        <f t="shared" ca="1" si="40"/>
        <v>-105828604.9949656</v>
      </c>
      <c r="AB107" s="187">
        <f t="shared" ca="1" si="23"/>
        <v>-78607665.315645412</v>
      </c>
      <c r="AC107" s="1156">
        <f t="shared" ca="1" si="41"/>
        <v>-117509933.65268779</v>
      </c>
      <c r="AD107" s="134"/>
      <c r="AE107" s="1160">
        <f t="shared" ca="1" si="42"/>
        <v>124628629.5</v>
      </c>
      <c r="AF107" s="1156">
        <f t="shared" si="43"/>
        <v>0</v>
      </c>
    </row>
    <row r="108" spans="1:32" x14ac:dyDescent="0.25">
      <c r="A108" s="58" t="str">
        <f t="shared" si="21"/>
        <v/>
      </c>
      <c r="B108" s="185" t="str">
        <f>IF(MAX($B$65:B107)&lt;(construct+anal_period),B107+1,"")</f>
        <v/>
      </c>
      <c r="C108" s="185" t="str">
        <f t="shared" si="22"/>
        <v/>
      </c>
      <c r="D108" s="185" t="str">
        <f t="shared" si="25"/>
        <v/>
      </c>
      <c r="E108" s="186" t="str">
        <f t="shared" si="26"/>
        <v/>
      </c>
      <c r="F108" s="59" t="str">
        <f t="shared" si="27"/>
        <v/>
      </c>
      <c r="G108" s="1169"/>
      <c r="H108" s="1178"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56" t="str">
        <f t="shared" si="41"/>
        <v/>
      </c>
      <c r="AD108" s="134"/>
      <c r="AE108" s="1160" t="str">
        <f t="shared" si="42"/>
        <v/>
      </c>
      <c r="AF108" s="1156" t="str">
        <f t="shared" si="43"/>
        <v/>
      </c>
    </row>
    <row r="109" spans="1:32" x14ac:dyDescent="0.25">
      <c r="A109" s="58" t="str">
        <f t="shared" si="21"/>
        <v/>
      </c>
      <c r="B109" s="185" t="str">
        <f>IF(MAX($B$65:B108)&lt;(construct+anal_period),B108+1,"")</f>
        <v/>
      </c>
      <c r="C109" s="185" t="str">
        <f t="shared" si="22"/>
        <v/>
      </c>
      <c r="D109" s="185" t="str">
        <f t="shared" si="25"/>
        <v/>
      </c>
      <c r="E109" s="186" t="str">
        <f t="shared" si="26"/>
        <v/>
      </c>
      <c r="F109" s="59" t="str">
        <f t="shared" si="27"/>
        <v/>
      </c>
      <c r="G109" s="1169"/>
      <c r="H109" s="1178"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56" t="str">
        <f t="shared" si="41"/>
        <v/>
      </c>
      <c r="AD109" s="134"/>
      <c r="AE109" s="1160" t="str">
        <f t="shared" si="42"/>
        <v/>
      </c>
      <c r="AF109" s="1156" t="str">
        <f t="shared" si="43"/>
        <v/>
      </c>
    </row>
    <row r="110" spans="1:32" x14ac:dyDescent="0.25">
      <c r="A110" s="58" t="str">
        <f t="shared" si="21"/>
        <v/>
      </c>
      <c r="B110" s="185" t="str">
        <f>IF(MAX($B$65:B109)&lt;(construct+anal_period),B109+1,"")</f>
        <v/>
      </c>
      <c r="C110" s="185" t="str">
        <f t="shared" si="22"/>
        <v/>
      </c>
      <c r="D110" s="185" t="str">
        <f t="shared" si="25"/>
        <v/>
      </c>
      <c r="E110" s="186" t="str">
        <f t="shared" si="26"/>
        <v/>
      </c>
      <c r="F110" s="59" t="str">
        <f t="shared" si="27"/>
        <v/>
      </c>
      <c r="G110" s="1169"/>
      <c r="H110" s="1178"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56" t="str">
        <f t="shared" si="41"/>
        <v/>
      </c>
      <c r="AD110" s="134"/>
      <c r="AE110" s="1160" t="str">
        <f t="shared" si="42"/>
        <v/>
      </c>
      <c r="AF110" s="1156" t="str">
        <f t="shared" si="43"/>
        <v/>
      </c>
    </row>
    <row r="111" spans="1:32" x14ac:dyDescent="0.25">
      <c r="A111" s="58" t="str">
        <f t="shared" si="21"/>
        <v/>
      </c>
      <c r="B111" s="185" t="str">
        <f>IF(MAX($B$65:B110)&lt;(construct+anal_period),B110+1,"")</f>
        <v/>
      </c>
      <c r="C111" s="185" t="str">
        <f t="shared" si="22"/>
        <v/>
      </c>
      <c r="D111" s="185" t="str">
        <f t="shared" si="25"/>
        <v/>
      </c>
      <c r="E111" s="186" t="str">
        <f t="shared" si="26"/>
        <v/>
      </c>
      <c r="F111" s="59" t="str">
        <f t="shared" si="27"/>
        <v/>
      </c>
      <c r="G111" s="1169"/>
      <c r="H111" s="1178"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56" t="str">
        <f t="shared" si="41"/>
        <v/>
      </c>
      <c r="AD111" s="134"/>
      <c r="AE111" s="1160" t="str">
        <f t="shared" si="42"/>
        <v/>
      </c>
      <c r="AF111" s="1156" t="str">
        <f t="shared" si="43"/>
        <v/>
      </c>
    </row>
    <row r="112" spans="1:32" x14ac:dyDescent="0.25">
      <c r="A112" s="58" t="str">
        <f t="shared" si="21"/>
        <v/>
      </c>
      <c r="B112" s="185" t="str">
        <f>IF(MAX($B$65:B111)&lt;(construct+anal_period),B111+1,"")</f>
        <v/>
      </c>
      <c r="C112" s="185" t="str">
        <f t="shared" si="22"/>
        <v/>
      </c>
      <c r="D112" s="185" t="str">
        <f t="shared" si="25"/>
        <v/>
      </c>
      <c r="E112" s="186" t="str">
        <f t="shared" si="26"/>
        <v/>
      </c>
      <c r="F112" s="59" t="str">
        <f t="shared" si="27"/>
        <v/>
      </c>
      <c r="G112" s="1169"/>
      <c r="H112" s="1178"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56" t="str">
        <f t="shared" si="41"/>
        <v/>
      </c>
      <c r="AD112" s="134"/>
      <c r="AE112" s="1160" t="str">
        <f t="shared" si="42"/>
        <v/>
      </c>
      <c r="AF112" s="1156" t="str">
        <f t="shared" si="43"/>
        <v/>
      </c>
    </row>
    <row r="113" spans="1:33" ht="13" thickBot="1" x14ac:dyDescent="0.3">
      <c r="A113" s="61" t="str">
        <f t="shared" si="21"/>
        <v/>
      </c>
      <c r="B113" s="189" t="str">
        <f>IF(MAX($B$65:B112)&lt;(construct+anal_period),B112+1,"")</f>
        <v/>
      </c>
      <c r="C113" s="189" t="str">
        <f t="shared" si="22"/>
        <v/>
      </c>
      <c r="D113" s="189" t="str">
        <f t="shared" si="25"/>
        <v/>
      </c>
      <c r="E113" s="1163" t="str">
        <f t="shared" si="26"/>
        <v/>
      </c>
      <c r="F113" s="1164" t="str">
        <f t="shared" si="27"/>
        <v/>
      </c>
      <c r="G113" s="1171"/>
      <c r="H113" s="1180" t="str">
        <f t="shared" si="24"/>
        <v/>
      </c>
      <c r="I113" s="1165" t="str">
        <f>IF(OR(C113&lt;0,C113=""),"",-E113*INDEX('Replacement Costs'!$A$16:$H$57,MATCH(C113,'Replacement Costs'!$C$16:$C$57,0),MATCH("Total Yearly Replacement Costs",'Replacement Costs'!$A$16:$H$16,0)))</f>
        <v/>
      </c>
      <c r="J113" s="1165" t="str">
        <f>IF(AND(C113&gt;=1,C113&lt;anal_period),WorkingCap*SUM(N113:R113)-WorkingCap*SUM(N112:R112),IF(C113&lt;0,0,IF(B113="","",-SUM(J$65:J112))))</f>
        <v/>
      </c>
      <c r="K113" s="1165" t="str">
        <f t="shared" si="28"/>
        <v/>
      </c>
      <c r="L113" s="1165" t="str">
        <f t="shared" si="29"/>
        <v/>
      </c>
      <c r="M113" s="1165" t="str">
        <f t="shared" si="30"/>
        <v/>
      </c>
      <c r="N113" s="1165" t="str">
        <f t="shared" si="31"/>
        <v/>
      </c>
      <c r="O113" s="1165" t="str">
        <f>IF(C113="","",IF(C113&lt;0,0,IF(AND(C113=1,start_time&lt;1),-(SUM(B280:E280)*output_kgyear*E113*percnt_var*start_time+SUM(B280:E280)*output_kgyear*E113*(1-start_time)),IF(C113&lt;=start_time,-SUM(B280:E280)*output_kgyear*E113*percnt_var,-SUM(B280:E280)*output_kgyear*E113))))</f>
        <v/>
      </c>
      <c r="P113" s="1165" t="str">
        <f t="shared" si="33"/>
        <v/>
      </c>
      <c r="Q113" s="1165" t="str">
        <f>IF(C113="","",IF(C113&lt;0,0,IF(AND(C113=1,start_time&lt;1),SUM(K280:N280,T280:V280)*output_kgyear*E113*percnt_revs*start_time+SUM(K280:N280,T280:V280)*output_kgyear*E113*(1-start_time),IF(C113&lt;=start_time,SUM(K280:N280,T280:V280)*output_kgyear*E113*percnt_revs,SUM(K280:N280,T280:V280)*output_kgyear*E113))))</f>
        <v/>
      </c>
      <c r="R113" s="1165"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65" t="str">
        <f>IF(B113="","",IF($B$31=0,"",-'Debt Financing Calculations'!E62))</f>
        <v/>
      </c>
      <c r="T113" s="1165" t="str">
        <f t="shared" si="35"/>
        <v/>
      </c>
      <c r="U113" s="1165" t="str">
        <f>IF(C113="","",IF(C113&lt;-1,0,IF(C113=anal_period,-LOOKUP(C113,depr_yr,depr_cost)-Depreciation!$C$141-Depreciation!$B$166,-LOOKUP(C113,depr_yr,depr_cost))))</f>
        <v/>
      </c>
      <c r="V113" s="1165" t="str">
        <f t="shared" si="36"/>
        <v/>
      </c>
      <c r="W113" s="1166" t="str">
        <f t="shared" si="37"/>
        <v/>
      </c>
      <c r="X113" s="1165" t="str">
        <f t="shared" si="38"/>
        <v/>
      </c>
      <c r="Y113" s="1165" t="str">
        <f t="shared" si="39"/>
        <v/>
      </c>
      <c r="Z113" s="1165" t="str">
        <f>IF(C113="","",IF($B$31=0,"",-'Debt Financing Calculations'!F62))</f>
        <v/>
      </c>
      <c r="AA113" s="1165" t="str">
        <f t="shared" si="40"/>
        <v/>
      </c>
      <c r="AB113" s="1165" t="str">
        <f t="shared" si="23"/>
        <v/>
      </c>
      <c r="AC113" s="1167" t="str">
        <f t="shared" si="41"/>
        <v/>
      </c>
      <c r="AD113" s="134"/>
      <c r="AE113" s="1162" t="str">
        <f t="shared" si="42"/>
        <v/>
      </c>
      <c r="AF113" s="1158" t="str">
        <f t="shared" si="43"/>
        <v/>
      </c>
    </row>
    <row r="114" spans="1:33" ht="13" thickTop="1" x14ac:dyDescent="0.25">
      <c r="A114" s="134"/>
      <c r="B114" s="134"/>
      <c r="C114" s="134"/>
      <c r="D114" s="134"/>
      <c r="E114" s="1181" t="s">
        <v>149</v>
      </c>
      <c r="F114" s="1182">
        <f t="shared" ref="F114:AC114" ca="1" si="44">SUM(F65:F113)</f>
        <v>8231594879.3419886</v>
      </c>
      <c r="G114" s="1182">
        <f t="shared" ca="1" si="44"/>
        <v>-137979487.64978874</v>
      </c>
      <c r="H114" s="1182">
        <f t="shared" ca="1" si="44"/>
        <v>-94164149.179487392</v>
      </c>
      <c r="I114" s="1182">
        <f t="shared" ca="1" si="44"/>
        <v>-71914227.35785085</v>
      </c>
      <c r="J114" s="1182">
        <f t="shared" ca="1" si="44"/>
        <v>0</v>
      </c>
      <c r="K114" s="1182">
        <f t="shared" ca="1" si="44"/>
        <v>-510448.31885074545</v>
      </c>
      <c r="L114" s="1182">
        <f t="shared" ca="1" si="44"/>
        <v>50809149.843072563</v>
      </c>
      <c r="M114" s="1182">
        <f t="shared" ca="1" si="44"/>
        <v>-50696620.053673021</v>
      </c>
      <c r="N114" s="1182">
        <f t="shared" ca="1" si="44"/>
        <v>-514162458.75275856</v>
      </c>
      <c r="O114" s="1182">
        <f t="shared" ca="1" si="44"/>
        <v>-6636002055.895154</v>
      </c>
      <c r="P114" s="1182">
        <f t="shared" ca="1" si="44"/>
        <v>0</v>
      </c>
      <c r="Q114" s="1182">
        <f t="shared" ca="1" si="44"/>
        <v>0</v>
      </c>
      <c r="R114" s="1182">
        <f t="shared" ca="1" si="44"/>
        <v>-663126938.53574932</v>
      </c>
      <c r="S114" s="1182">
        <f t="shared" ca="1" si="44"/>
        <v>-219525364.85081387</v>
      </c>
      <c r="T114" s="1182">
        <f t="shared" ca="1" si="44"/>
        <v>198890591.09691066</v>
      </c>
      <c r="U114" s="1182">
        <f t="shared" ca="1" si="44"/>
        <v>-304057864.18712693</v>
      </c>
      <c r="V114" s="1182">
        <f t="shared" ca="1" si="44"/>
        <v>-105167273.0902164</v>
      </c>
      <c r="W114" s="1182">
        <f t="shared" si="44"/>
        <v>11.068200000000001</v>
      </c>
      <c r="X114" s="1182">
        <f t="shared" ca="1" si="44"/>
        <v>27070056.093421694</v>
      </c>
      <c r="Y114" s="1182">
        <f t="shared" ca="1" si="44"/>
        <v>225960647.19033229</v>
      </c>
      <c r="Z114" s="1182">
        <f t="shared" ca="1" si="44"/>
        <v>-137979487.64978874</v>
      </c>
      <c r="AA114" s="1182">
        <f t="shared" ca="1" si="44"/>
        <v>-78607665.315645412</v>
      </c>
      <c r="AB114" s="1182">
        <f t="shared" ca="1" si="44"/>
        <v>2740714044.3529143</v>
      </c>
      <c r="AC114" s="1183">
        <f t="shared" ca="1" si="44"/>
        <v>-105677721.40906705</v>
      </c>
      <c r="AD114" s="134"/>
    </row>
    <row r="115" spans="1:33" ht="13" thickBot="1" x14ac:dyDescent="0.3">
      <c r="E115" s="1184" t="s">
        <v>150</v>
      </c>
      <c r="F115" s="1165">
        <f t="shared" ref="F115:AC115" ca="1" si="45">NPV(nominal_irr,F65:F113)</f>
        <v>1185204829.0425162</v>
      </c>
      <c r="G115" s="1165">
        <f t="shared" ca="1" si="45"/>
        <v>-125376628.9115952</v>
      </c>
      <c r="H115" s="1165">
        <f t="shared" ca="1" si="45"/>
        <v>-76053795.60095048</v>
      </c>
      <c r="I115" s="1165">
        <f t="shared" ca="1" si="45"/>
        <v>-10681497.348389439</v>
      </c>
      <c r="J115" s="1165">
        <f t="shared" ca="1" si="45"/>
        <v>-13966806.805602038</v>
      </c>
      <c r="K115" s="1165">
        <f t="shared" ca="1" si="45"/>
        <v>-463824.66365967493</v>
      </c>
      <c r="L115" s="1165">
        <f t="shared" ca="1" si="45"/>
        <v>826476.5392288157</v>
      </c>
      <c r="M115" s="1165">
        <f t="shared" ca="1" si="45"/>
        <v>-824646.09665714635</v>
      </c>
      <c r="N115" s="1165">
        <f t="shared" ca="1" si="45"/>
        <v>-75204691.352862731</v>
      </c>
      <c r="O115" s="1165">
        <f t="shared" ca="1" si="45"/>
        <v>-854202154.01902449</v>
      </c>
      <c r="P115" s="1165">
        <f t="shared" ca="1" si="45"/>
        <v>0</v>
      </c>
      <c r="Q115" s="1165">
        <f t="shared" ca="1" si="45"/>
        <v>0</v>
      </c>
      <c r="R115" s="1165">
        <f t="shared" ca="1" si="45"/>
        <v>-95052161.60198316</v>
      </c>
      <c r="S115" s="1165">
        <f t="shared" ca="1" si="45"/>
        <v>-49962173.640175365</v>
      </c>
      <c r="T115" s="1165">
        <f t="shared" ca="1" si="45"/>
        <v>110785478.87104262</v>
      </c>
      <c r="U115" s="1165">
        <f t="shared" ca="1" si="45"/>
        <v>-82133032.787701756</v>
      </c>
      <c r="V115" s="1165">
        <f t="shared" ca="1" si="45"/>
        <v>28652446.083340887</v>
      </c>
      <c r="W115" s="1165">
        <f t="shared" ca="1" si="45"/>
        <v>2.5190315964626389</v>
      </c>
      <c r="X115" s="1165">
        <f t="shared" ca="1" si="45"/>
        <v>-7375139.6218519472</v>
      </c>
      <c r="Y115" s="1165">
        <f t="shared" ca="1" si="45"/>
        <v>103410339.24919067</v>
      </c>
      <c r="Z115" s="1165">
        <f t="shared" ca="1" si="45"/>
        <v>-2244414.8305880493</v>
      </c>
      <c r="AA115" s="1165">
        <f t="shared" ca="1" si="45"/>
        <v>1.0004871459302417E-6</v>
      </c>
      <c r="AB115" s="1165">
        <f t="shared" ca="1" si="45"/>
        <v>12720407.364227027</v>
      </c>
      <c r="AC115" s="1167">
        <f t="shared" ca="1" si="45"/>
        <v>7375139.6218529362</v>
      </c>
      <c r="AD115" s="134"/>
    </row>
    <row r="116" spans="1:33" ht="13" thickBot="1" x14ac:dyDescent="0.3">
      <c r="D116" s="191"/>
      <c r="E116" s="1185" t="s">
        <v>1118</v>
      </c>
      <c r="F116" s="1186">
        <f t="shared" ref="F116:AC116" ca="1" si="46">+F65+NPV($X$59,F66:F113)</f>
        <v>1304341618.4578702</v>
      </c>
      <c r="G116" s="1186">
        <f t="shared" ca="1" si="46"/>
        <v>-137979487.64978874</v>
      </c>
      <c r="H116" s="1186">
        <f ca="1">+H65+NPV($X$59,H66:H113)</f>
        <v>-83698723.134758011</v>
      </c>
      <c r="I116" s="1186">
        <f t="shared" ca="1" si="46"/>
        <v>-11755201.461849546</v>
      </c>
      <c r="J116" s="1186">
        <f t="shared" ca="1" si="46"/>
        <v>-15370750.225701161</v>
      </c>
      <c r="K116" s="1186">
        <f t="shared" ca="1" si="46"/>
        <v>-510448.31885074545</v>
      </c>
      <c r="L116" s="1186">
        <f t="shared" ca="1" si="46"/>
        <v>909553.96095209627</v>
      </c>
      <c r="M116" s="1186">
        <f t="shared" ca="1" si="46"/>
        <v>-907539.52229312283</v>
      </c>
      <c r="N116" s="1186">
        <f t="shared" ca="1" si="46"/>
        <v>-82764266.927652493</v>
      </c>
      <c r="O116" s="1186">
        <f t="shared" ca="1" si="46"/>
        <v>-940066554.5410167</v>
      </c>
      <c r="P116" s="1186">
        <f t="shared" ca="1" si="46"/>
        <v>0</v>
      </c>
      <c r="Q116" s="1186">
        <f t="shared" ca="1" si="46"/>
        <v>0</v>
      </c>
      <c r="R116" s="1186">
        <f t="shared" ca="1" si="46"/>
        <v>-104606804.88621451</v>
      </c>
      <c r="S116" s="1186">
        <f t="shared" ca="1" si="46"/>
        <v>-54984371.334485792</v>
      </c>
      <c r="T116" s="1186">
        <f t="shared" ca="1" si="46"/>
        <v>121921635.20715985</v>
      </c>
      <c r="U116" s="1186">
        <f t="shared" ca="1" si="46"/>
        <v>-90389045.243521452</v>
      </c>
      <c r="V116" s="1186">
        <f t="shared" ca="1" si="46"/>
        <v>31532589.963638298</v>
      </c>
      <c r="W116" s="1186">
        <f t="shared" ca="1" si="46"/>
        <v>2.7722446525390634</v>
      </c>
      <c r="X116" s="1186">
        <f t="shared" ca="1" si="46"/>
        <v>-8116488.6566405054</v>
      </c>
      <c r="Y116" s="1186">
        <f t="shared" ca="1" si="46"/>
        <v>113805146.55051933</v>
      </c>
      <c r="Z116" s="1186">
        <f t="shared" ca="1" si="46"/>
        <v>-2470023.4093587599</v>
      </c>
      <c r="AA116" s="1186">
        <f t="shared" ca="1" si="46"/>
        <v>1.0859221220016479E-6</v>
      </c>
      <c r="AB116" s="1186">
        <f t="shared" ca="1" si="46"/>
        <v>13999062.712479159</v>
      </c>
      <c r="AC116" s="1187">
        <f t="shared" ca="1" si="46"/>
        <v>8116488.6566415988</v>
      </c>
      <c r="AD116" s="1188"/>
      <c r="AE116" s="1189">
        <f ca="1">+AE65+NPV(real_irr,AE66:AE113)</f>
        <v>1224665447.1183949</v>
      </c>
      <c r="AF116" s="1190">
        <f ca="1">+AF65+NPV($X$59,AF66:AF113)</f>
        <v>0</v>
      </c>
      <c r="AG116" s="1191"/>
    </row>
    <row r="117" spans="1:33" ht="16.5" thickTop="1" thickBot="1" x14ac:dyDescent="0.4">
      <c r="A117" s="49" t="s">
        <v>79</v>
      </c>
      <c r="B117" s="149"/>
      <c r="C117" s="149"/>
      <c r="D117" s="149"/>
      <c r="E117" s="1192" t="s">
        <v>1174</v>
      </c>
      <c r="F117" s="1206"/>
      <c r="G117" s="1206"/>
      <c r="H117" s="1206">
        <f ca="1">-H116/$AE$116*(1+inflation_rate)^construct/INFLATION_FACTOR</f>
        <v>7.368822645034942E-2</v>
      </c>
      <c r="I117" s="1206">
        <f ca="1">-I116/$AE$116*(1+inflation_rate)^construct/INFLATION_FACTOR</f>
        <v>1.0349261193574029E-2</v>
      </c>
      <c r="J117" s="1206">
        <f ca="1">-J116/$AE$116*(1+inflation_rate)^construct/INFLATION_FACTOR</f>
        <v>1.3532384735662329E-2</v>
      </c>
      <c r="K117" s="1206">
        <f ca="1">-K116/$AE$116*(1+inflation_rate)^construct/INFLATION_FACTOR</f>
        <v>4.493979107675744E-4</v>
      </c>
      <c r="L117" s="1206"/>
      <c r="M117" s="1206">
        <f ca="1">-M116/$AE$116*(1+inflation_rate)^construct/INFLATION_FACTOR</f>
        <v>7.9899639237872733E-4</v>
      </c>
      <c r="N117" s="1206">
        <f ca="1">-N116/$AE$116*(1+inflation_rate)^construct/INFLATION_FACTOR</f>
        <v>7.2865532650274817E-2</v>
      </c>
      <c r="O117" s="1206">
        <f ca="1">-O116/$AE$116*(1+inflation_rate)^construct/INFLATION_FACTOR</f>
        <v>0.82763314128326659</v>
      </c>
      <c r="P117" s="1206">
        <f ca="1">-P116/$AE$116*(1+inflation_rate)^construct/INFLATION_FACTOR</f>
        <v>0</v>
      </c>
      <c r="Q117" s="1206"/>
      <c r="R117" s="1206">
        <f ca="1">-R116/$AE$116*(1+inflation_rate)^construct/INFLATION_FACTOR</f>
        <v>9.2095669300620797E-2</v>
      </c>
      <c r="S117" s="1206">
        <f ca="1">-S116/$AE$116*(1+inflation_rate)^construct/INFLATION_FACTOR</f>
        <v>4.8408155517525683E-2</v>
      </c>
      <c r="T117" s="1206"/>
      <c r="U117" s="1206"/>
      <c r="V117" s="1206"/>
      <c r="W117" s="1206"/>
      <c r="X117" s="1206">
        <f ca="1">-X116/$AE$116*(1+inflation_rate)^construct/INFLATION_FACTOR</f>
        <v>7.1457440652860586E-3</v>
      </c>
      <c r="Y117" s="1206"/>
      <c r="Z117" s="1206">
        <f ca="1">-Z116/$AE$116*(1+inflation_rate)^construct/INFLATION_FACTOR</f>
        <v>2.1746047909649352E-3</v>
      </c>
      <c r="AA117" s="1206"/>
      <c r="AB117" s="1206"/>
      <c r="AC117" s="1207"/>
      <c r="AD117" s="1208"/>
      <c r="AE117" s="1209"/>
      <c r="AF117" s="1209"/>
      <c r="AG117" s="1207">
        <f ca="1">+SUM(F117:AC117)</f>
        <v>1.1491411142906711</v>
      </c>
    </row>
    <row r="118" spans="1:33" ht="15" customHeight="1" thickTop="1" thickBot="1" x14ac:dyDescent="0.35">
      <c r="A118" s="54" t="s">
        <v>80</v>
      </c>
      <c r="B118" s="56" t="s">
        <v>151</v>
      </c>
      <c r="C118" s="56" t="s">
        <v>152</v>
      </c>
      <c r="D118" s="1089" t="s">
        <v>153</v>
      </c>
      <c r="E118" s="1193" t="s">
        <v>1175</v>
      </c>
      <c r="F118" s="1210">
        <f ca="1">F116/$AE$116*(1+inflation_rate)^construct/INFLATION_FACTOR</f>
        <v>1.1483403443896121</v>
      </c>
      <c r="G118" s="1210"/>
      <c r="H118" s="1210"/>
      <c r="I118" s="1210"/>
      <c r="J118" s="1210"/>
      <c r="K118" s="1210"/>
      <c r="L118" s="1210">
        <f ca="1">L116/$AE$116*(1+inflation_rate)^construct/INFLATION_FACTOR</f>
        <v>8.00769901059783E-4</v>
      </c>
      <c r="M118" s="1210"/>
      <c r="N118" s="1210"/>
      <c r="O118" s="1210"/>
      <c r="P118" s="1210"/>
      <c r="Q118" s="1210">
        <f ca="1">Q116/$AE$116*(1+inflation_rate)^construct/INFLATION_FACTOR</f>
        <v>0</v>
      </c>
      <c r="R118" s="1210"/>
      <c r="S118" s="1210"/>
      <c r="T118" s="1210"/>
      <c r="U118" s="1210"/>
      <c r="V118" s="1210"/>
      <c r="W118" s="1210"/>
      <c r="X118" s="1210"/>
      <c r="Y118" s="1210"/>
      <c r="Z118" s="1210"/>
      <c r="AA118" s="1210"/>
      <c r="AB118" s="1210"/>
      <c r="AC118" s="1211"/>
      <c r="AD118" s="1212"/>
      <c r="AE118" s="1213"/>
      <c r="AF118" s="1213"/>
      <c r="AG118" s="1211">
        <f ca="1">+SUM(F118:AC118)</f>
        <v>1.1491411142906718</v>
      </c>
    </row>
    <row r="119" spans="1:33" ht="15" customHeight="1" x14ac:dyDescent="0.25">
      <c r="A119" s="194" t="s">
        <v>154</v>
      </c>
      <c r="B119" s="187">
        <f ca="1">(SUM(H115:K115)+L115*(1-total_tax_rate)+S115*(1-total_tax_rate)+U115*(-total_tax_rate)+Z115)/(1-total_tax_rate)</f>
        <v>-159921175.97198784</v>
      </c>
      <c r="C119" s="195">
        <f t="shared" ref="C119:C125" ca="1" si="47">B119/SUM($B$118:$B$125)</f>
        <v>0.13493125580764168</v>
      </c>
      <c r="D119" s="196">
        <f t="shared" ref="D119:D125" ca="1" si="48">H2_price_real*C119</f>
        <v>0.15494700476306994</v>
      </c>
      <c r="E119" s="192"/>
    </row>
    <row r="120" spans="1:33" ht="15" customHeight="1" x14ac:dyDescent="0.25">
      <c r="A120" s="194" t="s">
        <v>84</v>
      </c>
      <c r="B120" s="187">
        <f ca="1">M115</f>
        <v>-824646.09665714635</v>
      </c>
      <c r="C120" s="195">
        <f t="shared" ca="1" si="47"/>
        <v>6.9578361178577759E-4</v>
      </c>
      <c r="D120" s="196">
        <f t="shared" ca="1" si="48"/>
        <v>7.9899639237872723E-4</v>
      </c>
      <c r="E120" s="192"/>
      <c r="V120" s="151"/>
      <c r="W120" s="134"/>
      <c r="X120" s="134"/>
      <c r="Y120" s="134"/>
    </row>
    <row r="121" spans="1:33" ht="15" customHeight="1" x14ac:dyDescent="0.25">
      <c r="A121" s="194" t="s">
        <v>85</v>
      </c>
      <c r="B121" s="187">
        <f ca="1">N115</f>
        <v>-75204691.352862731</v>
      </c>
      <c r="C121" s="195">
        <f t="shared" ca="1" si="47"/>
        <v>6.3452906628483713E-2</v>
      </c>
      <c r="D121" s="196">
        <f t="shared" ca="1" si="48"/>
        <v>7.2865532650274817E-2</v>
      </c>
      <c r="E121" s="192"/>
      <c r="V121" s="151"/>
      <c r="W121" s="134"/>
      <c r="X121" s="134"/>
      <c r="Y121" s="134"/>
    </row>
    <row r="122" spans="1:33" ht="15" customHeight="1" x14ac:dyDescent="0.25">
      <c r="A122" s="194" t="s">
        <v>1004</v>
      </c>
      <c r="B122" s="187">
        <f ca="1">O115</f>
        <v>-854202154.01902449</v>
      </c>
      <c r="C122" s="195">
        <f t="shared" ca="1" si="47"/>
        <v>0.72072112185798631</v>
      </c>
      <c r="D122" s="196">
        <f t="shared" ca="1" si="48"/>
        <v>0.82763314128326682</v>
      </c>
      <c r="E122" s="192"/>
      <c r="V122" s="151"/>
      <c r="W122" s="134"/>
      <c r="X122" s="134"/>
      <c r="Y122" s="134"/>
    </row>
    <row r="123" spans="1:33" ht="15" customHeight="1" x14ac:dyDescent="0.25">
      <c r="A123" s="194" t="s">
        <v>86</v>
      </c>
      <c r="B123" s="187">
        <f ca="1">P115</f>
        <v>0</v>
      </c>
      <c r="C123" s="195">
        <f t="shared" ca="1" si="47"/>
        <v>0</v>
      </c>
      <c r="D123" s="196">
        <f t="shared" ca="1" si="48"/>
        <v>0</v>
      </c>
      <c r="E123" s="192"/>
      <c r="V123" s="151"/>
      <c r="W123" s="134"/>
      <c r="X123" s="134"/>
      <c r="Y123" s="134"/>
    </row>
    <row r="124" spans="1:33" ht="15" customHeight="1" x14ac:dyDescent="0.25">
      <c r="A124" s="194" t="s">
        <v>87</v>
      </c>
      <c r="B124" s="187">
        <f ca="1">Q115</f>
        <v>0</v>
      </c>
      <c r="C124" s="195">
        <f t="shared" ca="1" si="47"/>
        <v>0</v>
      </c>
      <c r="D124" s="196">
        <f t="shared" ca="1" si="48"/>
        <v>0</v>
      </c>
      <c r="E124" s="192"/>
      <c r="V124" s="151"/>
      <c r="W124" s="134"/>
      <c r="X124" s="134"/>
      <c r="Y124" s="134"/>
    </row>
    <row r="125" spans="1:33" ht="29.25" customHeight="1" thickBot="1" x14ac:dyDescent="0.3">
      <c r="A125" s="197" t="s">
        <v>88</v>
      </c>
      <c r="B125" s="190">
        <f ca="1">R115</f>
        <v>-95052161.60198316</v>
      </c>
      <c r="C125" s="198">
        <f t="shared" ca="1" si="47"/>
        <v>8.0198932094102601E-2</v>
      </c>
      <c r="D125" s="199">
        <f t="shared" ca="1" si="48"/>
        <v>9.2095669300620811E-2</v>
      </c>
      <c r="E125" s="192"/>
      <c r="V125" s="151"/>
      <c r="W125" s="134"/>
      <c r="X125" s="134"/>
      <c r="Y125" s="134"/>
    </row>
    <row r="126" spans="1:33" ht="15" customHeight="1" thickTop="1" x14ac:dyDescent="0.25">
      <c r="D126" s="191"/>
      <c r="E126" s="192"/>
      <c r="K126"/>
      <c r="L126"/>
      <c r="M126"/>
      <c r="V126" s="151"/>
      <c r="W126" s="134"/>
      <c r="X126" s="134"/>
      <c r="Y126" s="134"/>
    </row>
    <row r="127" spans="1:33" ht="15" customHeight="1" x14ac:dyDescent="0.25">
      <c r="D127" s="191"/>
      <c r="E127" s="192"/>
      <c r="K127"/>
      <c r="L127"/>
      <c r="M127"/>
      <c r="V127" s="151"/>
      <c r="W127" s="134"/>
      <c r="X127" s="134"/>
      <c r="Y127" s="134"/>
    </row>
    <row r="128" spans="1:33" ht="42.75" customHeight="1" thickBot="1" x14ac:dyDescent="0.3">
      <c r="A128" s="228" t="s">
        <v>261</v>
      </c>
      <c r="B128" s="417">
        <f>(1+inflation_rate)^(startup_year-ref_year)</f>
        <v>0.9813542688910698</v>
      </c>
      <c r="P128" s="841"/>
    </row>
    <row r="129" spans="1:22" ht="51.75" customHeight="1" thickBot="1" x14ac:dyDescent="0.4">
      <c r="A129" s="200" t="s">
        <v>155</v>
      </c>
      <c r="B129" s="201"/>
      <c r="C129" s="201"/>
      <c r="D129" s="201"/>
      <c r="E129" s="201"/>
      <c r="F129" s="201"/>
      <c r="G129" s="201"/>
      <c r="H129" s="201"/>
      <c r="I129" s="201"/>
      <c r="J129" s="201"/>
      <c r="K129" s="201"/>
      <c r="L129" s="201"/>
      <c r="M129" s="201"/>
      <c r="N129" s="201"/>
      <c r="O129" s="201"/>
      <c r="P129" s="840"/>
      <c r="Q129" s="201"/>
      <c r="R129" s="201"/>
      <c r="S129" s="201"/>
      <c r="T129" s="201"/>
      <c r="U129" s="201"/>
      <c r="V129" s="236"/>
    </row>
    <row r="130" spans="1:22" ht="31.9" customHeight="1" thickTop="1" thickBot="1" x14ac:dyDescent="0.4">
      <c r="A130" s="374"/>
      <c r="B130" s="202" t="s">
        <v>67</v>
      </c>
      <c r="C130" s="230"/>
      <c r="D130" s="230"/>
      <c r="E130" s="149"/>
      <c r="F130" s="203" t="s">
        <v>68</v>
      </c>
      <c r="G130" s="230"/>
      <c r="H130" s="230"/>
      <c r="I130" s="231"/>
      <c r="J130" s="595" t="s">
        <v>1002</v>
      </c>
      <c r="K130" s="233" t="s">
        <v>69</v>
      </c>
      <c r="L130" s="149"/>
      <c r="M130" s="149"/>
      <c r="N130" s="193"/>
      <c r="O130" s="395" t="s">
        <v>70</v>
      </c>
      <c r="P130" s="400"/>
      <c r="Q130" s="400"/>
      <c r="R130" s="401"/>
      <c r="S130" s="202" t="s">
        <v>73</v>
      </c>
      <c r="T130" s="411"/>
      <c r="U130" s="411"/>
      <c r="V130" s="412"/>
    </row>
    <row r="131" spans="1:22" ht="30.75" customHeight="1" thickTop="1" thickBot="1" x14ac:dyDescent="0.4">
      <c r="A131" s="375" t="s">
        <v>263</v>
      </c>
      <c r="B131" s="377" t="str">
        <f>Input_Sheet_Template!$B$75</f>
        <v>Industrial Natural Gas</v>
      </c>
      <c r="C131" s="378"/>
      <c r="D131" s="378"/>
      <c r="E131" s="378"/>
      <c r="F131" s="379" t="str">
        <f>Input_Sheet_Template!$B$78</f>
        <v>Industrial Electricity</v>
      </c>
      <c r="G131" s="378"/>
      <c r="H131" s="378"/>
      <c r="I131" s="380"/>
      <c r="J131" s="603" t="str">
        <f ca="1">IF(CO2_CashFlow_eUse&gt;0,'HyARC Physical Property Data'!A77,"")</f>
        <v/>
      </c>
      <c r="K131" s="597"/>
      <c r="L131" s="381"/>
      <c r="M131" s="381"/>
      <c r="N131" s="382"/>
      <c r="O131" s="396" t="s">
        <v>71</v>
      </c>
      <c r="P131" s="402" t="str">
        <f>Input_Sheet_Template!$B$138</f>
        <v>Demineralized Water</v>
      </c>
      <c r="Q131" s="402" t="str">
        <f>Input_Sheet_Template!$B$140</f>
        <v>Cooling Water</v>
      </c>
      <c r="R131" s="403"/>
      <c r="S131" s="396" t="s">
        <v>71</v>
      </c>
      <c r="T131" s="402"/>
      <c r="U131" s="402"/>
      <c r="V131" s="403"/>
    </row>
    <row r="132" spans="1:22" ht="31.5" customHeight="1" thickBot="1" x14ac:dyDescent="0.4">
      <c r="A132" s="376" t="s">
        <v>933</v>
      </c>
      <c r="B132" s="383">
        <f>Input_Sheet_Template!$C$75</f>
        <v>1.0549999999999999</v>
      </c>
      <c r="C132" s="384"/>
      <c r="D132" s="384"/>
      <c r="E132" s="384"/>
      <c r="F132" s="385">
        <f>Input_Sheet_Template!$C$78</f>
        <v>3.5999999999999995E-3</v>
      </c>
      <c r="G132" s="384"/>
      <c r="H132" s="384"/>
      <c r="I132" s="386"/>
      <c r="J132" s="604">
        <f ca="1">IF(J131="",0,VLOOKUP(J131,MASTER_PROPERTY_TABLE,9,FALSE))</f>
        <v>0</v>
      </c>
      <c r="K132" s="598"/>
      <c r="L132" s="387"/>
      <c r="M132" s="387"/>
      <c r="N132" s="388"/>
      <c r="O132" s="397" t="s">
        <v>264</v>
      </c>
      <c r="P132" s="842">
        <f>Input_Sheet_Template!$D$138</f>
        <v>3.355</v>
      </c>
      <c r="Q132" s="842">
        <f>Input_Sheet_Template!$D$140</f>
        <v>1.4950000000000001</v>
      </c>
      <c r="R132" s="843"/>
      <c r="S132" s="397" t="s">
        <v>264</v>
      </c>
      <c r="T132" s="404"/>
      <c r="U132" s="404"/>
      <c r="V132" s="405"/>
    </row>
    <row r="133" spans="1:22" ht="16.5" customHeight="1" thickBot="1" x14ac:dyDescent="0.4">
      <c r="A133" s="376" t="s">
        <v>264</v>
      </c>
      <c r="B133" s="383">
        <f ca="1">feedstockIndustrial_Natural_Gas_Usage</f>
        <v>0.15625</v>
      </c>
      <c r="C133" s="384"/>
      <c r="D133" s="384"/>
      <c r="E133" s="384"/>
      <c r="F133" s="385">
        <f ca="1">utilityIndustrial_Electricity_Usage</f>
        <v>0.56899999999999995</v>
      </c>
      <c r="G133" s="384"/>
      <c r="H133" s="384"/>
      <c r="I133" s="386"/>
      <c r="J133" s="604">
        <f ca="1" xml:space="preserve"> CO2_eUse_kWhpkg</f>
        <v>0</v>
      </c>
      <c r="K133" s="598"/>
      <c r="L133" s="387"/>
      <c r="M133" s="387"/>
      <c r="N133" s="388"/>
      <c r="O133" s="397" t="s">
        <v>72</v>
      </c>
      <c r="P133" s="404">
        <f>Input_Sheet_Template!$C$138</f>
        <v>7.1248532835024025E-3</v>
      </c>
      <c r="Q133" s="404">
        <f>Input_Sheet_Template!$C$140</f>
        <v>1.1334993860117458E-4</v>
      </c>
      <c r="R133" s="405"/>
      <c r="S133" s="397" t="s">
        <v>74</v>
      </c>
      <c r="T133" s="404"/>
      <c r="U133" s="404"/>
      <c r="V133" s="405"/>
    </row>
    <row r="134" spans="1:22" ht="16.5" customHeight="1" thickBot="1" x14ac:dyDescent="0.4">
      <c r="A134" s="376" t="s">
        <v>265</v>
      </c>
      <c r="B134" s="383">
        <f>feedstockIndustrial_Natural_Gas_Price</f>
        <v>3.7336748144174337</v>
      </c>
      <c r="C134" s="384"/>
      <c r="D134" s="384"/>
      <c r="E134" s="384"/>
      <c r="F134" s="385">
        <f>utilityIndustrial_Electricity_Price</f>
        <v>6.9980611257164108E-2</v>
      </c>
      <c r="G134" s="384"/>
      <c r="H134" s="384"/>
      <c r="I134" s="386"/>
      <c r="J134" s="604">
        <f ca="1">IF(J131="",0,CO2_eCost)</f>
        <v>0</v>
      </c>
      <c r="K134" s="598"/>
      <c r="L134" s="387"/>
      <c r="M134" s="387"/>
      <c r="N134" s="388"/>
      <c r="O134" s="398" t="s">
        <v>266</v>
      </c>
      <c r="P134" s="406" t="str">
        <f>Input_Sheet_Template!$F$138</f>
        <v>Yes</v>
      </c>
      <c r="Q134" s="406" t="str">
        <f>Input_Sheet_Template!$F$140</f>
        <v>Yes</v>
      </c>
      <c r="R134" s="407"/>
      <c r="S134" s="398" t="s">
        <v>266</v>
      </c>
      <c r="T134" s="413"/>
      <c r="U134" s="413"/>
      <c r="V134" s="414"/>
    </row>
    <row r="135" spans="1:22" ht="16.5" customHeight="1" thickBot="1" x14ac:dyDescent="0.4">
      <c r="A135" s="418" t="s">
        <v>266</v>
      </c>
      <c r="B135" s="389" t="str">
        <f>Input_Sheet_Template!$G$75</f>
        <v>yes</v>
      </c>
      <c r="C135" s="390"/>
      <c r="D135" s="390"/>
      <c r="E135" s="390"/>
      <c r="F135" s="391" t="str">
        <f>Input_Sheet_Template!$G$78</f>
        <v>yes</v>
      </c>
      <c r="G135" s="390"/>
      <c r="H135" s="390"/>
      <c r="I135" s="392"/>
      <c r="J135" s="605" t="str">
        <f ca="1">IF(J131="","","yes")</f>
        <v/>
      </c>
      <c r="K135" s="599"/>
      <c r="L135" s="393"/>
      <c r="M135" s="393"/>
      <c r="N135" s="394"/>
      <c r="O135" s="399"/>
      <c r="P135" s="408"/>
      <c r="Q135" s="408"/>
      <c r="R135" s="409"/>
      <c r="S135" s="410"/>
      <c r="T135" s="415"/>
      <c r="U135" s="415"/>
      <c r="V135" s="416"/>
    </row>
    <row r="136" spans="1:22" ht="30" customHeight="1" thickBot="1" x14ac:dyDescent="0.4">
      <c r="A136" s="376" t="s">
        <v>530</v>
      </c>
      <c r="B136" s="534">
        <f ca="1">IF(B131="",0,VLOOKUP(B131,MASTER_PROPERTY_TABLE,11,FALSE)*B132*B133)</f>
        <v>9.2832316039335385</v>
      </c>
      <c r="C136" s="535">
        <f>IF(C131="",0,VLOOKUP(C131,MASTER_PROPERTY_TABLE,11,FALSE)*C132*C133)</f>
        <v>0</v>
      </c>
      <c r="D136" s="535">
        <f>IF(D131="",0,VLOOKUP(D131,MASTER_PROPERTY_TABLE,11,FALSE)*D132*D133)</f>
        <v>0</v>
      </c>
      <c r="E136" s="536">
        <f>IF(E131="",0,VLOOKUP(E131,MASTER_PROPERTY_TABLE,11,FALSE)*E132*E133)</f>
        <v>0</v>
      </c>
      <c r="F136" s="534">
        <f ca="1">IF(F131="",,VLOOKUP(F131,MASTER_PROPERTY_TABLE,11,FALSE)*F132*F133)</f>
        <v>0</v>
      </c>
      <c r="G136" s="535">
        <f>IF(G131="",,VLOOKUP(G131,MASTER_PROPERTY_TABLE,11,FALSE)*G132*G133)</f>
        <v>0</v>
      </c>
      <c r="H136" s="535">
        <f>IF(H131="",,VLOOKUP(H131,MASTER_PROPERTY_TABLE,11,FALSE)*H132*H133)</f>
        <v>0</v>
      </c>
      <c r="I136" s="535">
        <f>IF(I131="",,VLOOKUP(I131,MASTER_PROPERTY_TABLE,11,FALSE)*I132*I133)</f>
        <v>0</v>
      </c>
      <c r="J136" s="536">
        <f ca="1">IF($J$131="",0,VLOOKUP($J$131,MASTER_PROPERTY_TABLE,12,FALSE)*$J$132*$J$133)</f>
        <v>0</v>
      </c>
      <c r="K136" s="384"/>
      <c r="L136" s="387"/>
      <c r="M136" s="387"/>
      <c r="N136" s="388"/>
      <c r="O136" s="421"/>
      <c r="P136" s="419"/>
      <c r="Q136" s="419"/>
      <c r="R136" s="420"/>
      <c r="S136" s="422"/>
      <c r="T136" s="423"/>
      <c r="U136" s="423"/>
      <c r="V136" s="424"/>
    </row>
    <row r="137" spans="1:22" ht="30" customHeight="1" thickBot="1" x14ac:dyDescent="0.4">
      <c r="A137" s="533" t="s">
        <v>934</v>
      </c>
      <c r="B137" s="425">
        <f ca="1">IF(B131="",0,IF(VLOOKUP(B131,MASTER_PROPERTY_TABLE,12,FALSE)="English",mmBTU_to_GJ,1))</f>
        <v>1</v>
      </c>
      <c r="C137" s="426">
        <f>IF(C131="",0,IF(VLOOKUP(C131,MASTER_PROPERTY_TABLE,12,FALSE)="English",mmBTU_to_GJ,1))</f>
        <v>0</v>
      </c>
      <c r="D137" s="426">
        <f>IF(D131="",0,IF(VLOOKUP(D131,MASTER_PROPERTY_TABLE,12,FALSE)="English",mmBTU_to_GJ,1))</f>
        <v>0</v>
      </c>
      <c r="E137" s="427">
        <f>IF(E131="",,IF(VLOOKUP(E131,MASTER_PROPERTY_TABLE,12,FALSE)="English",mmBTU_to_GJ,1))</f>
        <v>0</v>
      </c>
      <c r="F137" s="425">
        <f ca="1">IF(F131="",,IF(VLOOKUP(F131,MASTER_PROPERTY_TABLE,12,FALSE)="English",mmBTU_to_GJ,1))</f>
        <v>1</v>
      </c>
      <c r="G137" s="426">
        <f>IF(G131="",,IF(VLOOKUP(G131,MASTER_PROPERTY_TABLE,12,FALSE)="English",mmBTU_to_GJ,1))</f>
        <v>0</v>
      </c>
      <c r="H137" s="426">
        <f>IF(H131="",,IF(VLOOKUP(H131,MASTER_PROPERTY_TABLE,12,FALSE)="English",mmBTU_to_GJ,1))</f>
        <v>0</v>
      </c>
      <c r="I137" s="426">
        <f>IF(I131="",,IF(VLOOKUP(I131,MASTER_PROPERTY_TABLE,12,FALSE)="English",mmBTU_to_GJ,1))</f>
        <v>0</v>
      </c>
      <c r="J137" s="427">
        <f ca="1">IF($J$131="",0,IF(VLOOKUP($J$131,MASTER_PROPERTY_TABLE,12,FALSE)="English",mmBTU_to_GJ,1))</f>
        <v>0</v>
      </c>
      <c r="K137" s="426">
        <f>IF(K131="",,IF(VLOOKUP(K131,MASTER_PROPERTY_TABLE,12,FALSE)="English",mmBTU_to_GJ,1))</f>
        <v>0</v>
      </c>
      <c r="L137" s="426">
        <f>IF(L131="",,IF(VLOOKUP(L131,MASTER_PROPERTY_TABLE,12,FALSE)="English",mmBTU_to_GJ,1))</f>
        <v>0</v>
      </c>
      <c r="M137" s="426">
        <f>IF(M131="",,IF(VLOOKUP(M131,MASTER_PROPERTY_TABLE,12,FALSE)="English",mmBTU_to_GJ,1))</f>
        <v>0</v>
      </c>
      <c r="N137" s="426">
        <f>IF(N131="",,IF(VLOOKUP(N131,MASTER_PROPERTY_TABLE,12,FALSE)="English",mmBTU_to_GJ,1))</f>
        <v>0</v>
      </c>
      <c r="O137" s="532"/>
      <c r="P137" s="530"/>
      <c r="Q137" s="530"/>
      <c r="R137" s="531"/>
      <c r="S137" s="410"/>
      <c r="T137" s="415"/>
      <c r="U137" s="415"/>
      <c r="V137" s="416"/>
    </row>
    <row r="138" spans="1:22" ht="38.25" customHeight="1" thickTop="1" x14ac:dyDescent="0.3">
      <c r="A138" s="204" t="s">
        <v>1034</v>
      </c>
      <c r="B138" s="237" t="str">
        <f t="shared" ref="B138:N138" si="49">IF(B$131="","",B$131&amp;" ($/kg of H2)")</f>
        <v>Industrial Natural Gas ($/kg of H2)</v>
      </c>
      <c r="C138" s="237" t="str">
        <f t="shared" si="49"/>
        <v/>
      </c>
      <c r="D138" s="237" t="str">
        <f t="shared" si="49"/>
        <v/>
      </c>
      <c r="E138" s="237" t="str">
        <f t="shared" si="49"/>
        <v/>
      </c>
      <c r="F138" s="237" t="str">
        <f t="shared" si="49"/>
        <v>Industrial Electricity ($/kg of H2)</v>
      </c>
      <c r="G138" s="237" t="str">
        <f t="shared" si="49"/>
        <v/>
      </c>
      <c r="H138" s="237" t="str">
        <f t="shared" si="49"/>
        <v/>
      </c>
      <c r="I138" s="596" t="str">
        <f t="shared" si="49"/>
        <v/>
      </c>
      <c r="J138" s="602"/>
      <c r="K138" s="600" t="str">
        <f t="shared" si="49"/>
        <v/>
      </c>
      <c r="L138" s="237" t="str">
        <f t="shared" si="49"/>
        <v/>
      </c>
      <c r="M138" s="237" t="str">
        <f t="shared" si="49"/>
        <v/>
      </c>
      <c r="N138" s="237" t="str">
        <f t="shared" si="49"/>
        <v/>
      </c>
      <c r="O138" s="237"/>
      <c r="P138" s="237" t="str">
        <f>IF(P$131="","",P$131&amp;" ($/kg of H2)")</f>
        <v>Demineralized Water ($/kg of H2)</v>
      </c>
      <c r="Q138" s="237" t="str">
        <f>IF(Q$131="","",Q$131&amp;" ($/kg of H2)")</f>
        <v>Cooling Water ($/kg of H2)</v>
      </c>
      <c r="R138" s="237" t="str">
        <f>IF(R$131="","",R$131&amp;" ($/kg of H2)")</f>
        <v/>
      </c>
      <c r="S138" s="238"/>
      <c r="T138" s="237" t="str">
        <f>IF(T$131="","",T$131&amp;" ($/kg of H2)")</f>
        <v/>
      </c>
      <c r="U138" s="237" t="str">
        <f>IF(U$131="","",U$131&amp;" ($/kg of H2)")</f>
        <v/>
      </c>
      <c r="V138" s="237" t="str">
        <f>IF(V$131="","",V$131&amp;" ($/kg of H2)")</f>
        <v/>
      </c>
    </row>
    <row r="139" spans="1:22" ht="15" customHeight="1" x14ac:dyDescent="0.25">
      <c r="A139" s="205">
        <f t="shared" ref="A139:A182" si="50">IF(A65="","",A65)</f>
        <v>2012</v>
      </c>
      <c r="B139" s="207">
        <f ca="1">IF($A139="","",IF($B$131="","",IF($B$135="no",INFLATION_FACTOR*$B$133*$B$134,INFLATION_FACTOR*$B$133*$B$132*INDEX(FEEDPRICETABLE,MATCH($B$131,List_Energy_Feedstocks,0),MATCH($A139,Feedstock_Year,0)))))</f>
        <v>0.67281033384192268</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f ca="1">IF($A139="","",IF($F$131="","",IF($F$135="no",INFLATION_FACTOR*$F$133*$F$134,INFLATION_FACTOR*$F$133*$F$132*INDEX(FEEDPRICETABLE,MATCH($F$131,List_Energy_Feedstocks,0),MATCH($A139,Feedstock_Year,0)))))</f>
        <v>3.943904236493441E-2</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1"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2.3458177395633526E-2</v>
      </c>
      <c r="Q139" s="229">
        <f ca="1">IF(OR($A139="",$Q$131=""),"",IF($Q$134="No",INFLATION_FACTOR*$Q$132*$Q$133,INFLATION_FACTOR*$Q$132*INDEX(Tbl_Other_Inputs_and_Byproducts,MATCH($Q$131,Other_Inputs_List,0),MATCH($A139,Other_Inputs_years,0))))</f>
        <v>1.6629848695658099E-4</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5">
      <c r="A140" s="205">
        <f t="shared" si="50"/>
        <v>2013</v>
      </c>
      <c r="B140" s="207">
        <f t="shared" ref="B140:B182" ca="1" si="66">IF($A140="","",IF($B$131="","",IF($B$135="no",INFLATION_FACTOR*$B$133*$B$134,INFLATION_FACTOR*$B$133*$B$132*INDEX(FEEDPRICETABLE,MATCH($B$131,List_Energy_Feedstocks,0),MATCH($A140,Feedstock_Year,0)))))</f>
        <v>0.79182640991248876</v>
      </c>
      <c r="C140" s="207" t="str">
        <f t="shared" si="51"/>
        <v/>
      </c>
      <c r="D140" s="207" t="str">
        <f t="shared" si="52"/>
        <v/>
      </c>
      <c r="E140" s="234" t="str">
        <f t="shared" si="53"/>
        <v/>
      </c>
      <c r="F140" s="206">
        <f t="shared" ref="F140:F182" ca="1" si="67">IF($A140="","",IF($F$131="","",IF($F$135="no",INFLATION_FACTOR*$F$133*$F$134,INFLATION_FACTOR*$F$133*$F$132*INDEX(FEEDPRICETABLE,MATCH($F$131,List_Energy_Feedstocks,0),MATCH($A140,Feedstock_Year,0)))))</f>
        <v>4.009320952793919E-2</v>
      </c>
      <c r="G140" s="207" t="str">
        <f t="shared" si="54"/>
        <v/>
      </c>
      <c r="H140" s="207" t="str">
        <f t="shared" si="55"/>
        <v/>
      </c>
      <c r="I140" s="234" t="str">
        <f t="shared" si="56"/>
        <v/>
      </c>
      <c r="J140" s="601"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2.3458177395633526E-2</v>
      </c>
      <c r="Q140" s="229">
        <f t="shared" ref="Q140:Q182" ca="1" si="69">IF(OR($A140="",$Q$131=""),"",IF($Q$134="No",INFLATION_FACTOR*$Q$132*$Q$133,INFLATION_FACTOR*$Q$132*INDEX(Tbl_Other_Inputs_and_Byproducts,MATCH($Q$131,Other_Inputs_List,0),MATCH($A140,Other_Inputs_years,0))))</f>
        <v>1.6629848695658099E-4</v>
      </c>
      <c r="R140" s="229" t="str">
        <f t="shared" si="62"/>
        <v/>
      </c>
      <c r="S140" s="239"/>
      <c r="T140" s="229" t="str">
        <f t="shared" si="63"/>
        <v/>
      </c>
      <c r="U140" s="229" t="str">
        <f t="shared" si="64"/>
        <v/>
      </c>
      <c r="V140" s="229" t="str">
        <f t="shared" si="65"/>
        <v/>
      </c>
    </row>
    <row r="141" spans="1:22" ht="15" customHeight="1" x14ac:dyDescent="0.25">
      <c r="A141" s="205">
        <f t="shared" si="50"/>
        <v>2014</v>
      </c>
      <c r="B141" s="207">
        <f t="shared" ca="1" si="66"/>
        <v>0.94217155862896429</v>
      </c>
      <c r="C141" s="207" t="str">
        <f t="shared" si="51"/>
        <v/>
      </c>
      <c r="D141" s="207" t="str">
        <f t="shared" si="52"/>
        <v/>
      </c>
      <c r="E141" s="234" t="str">
        <f t="shared" si="53"/>
        <v/>
      </c>
      <c r="F141" s="206">
        <f t="shared" ca="1" si="67"/>
        <v>4.0587436551088332E-2</v>
      </c>
      <c r="G141" s="207" t="str">
        <f t="shared" si="54"/>
        <v/>
      </c>
      <c r="H141" s="207" t="str">
        <f t="shared" si="55"/>
        <v/>
      </c>
      <c r="I141" s="234" t="str">
        <f t="shared" si="56"/>
        <v/>
      </c>
      <c r="J141" s="601" t="str">
        <f t="shared" ca="1" si="57"/>
        <v/>
      </c>
      <c r="K141" s="232" t="str">
        <f t="shared" si="58"/>
        <v/>
      </c>
      <c r="L141" s="232" t="str">
        <f t="shared" si="59"/>
        <v/>
      </c>
      <c r="M141" s="207" t="str">
        <f t="shared" si="60"/>
        <v/>
      </c>
      <c r="N141" s="235" t="str">
        <f t="shared" si="61"/>
        <v/>
      </c>
      <c r="O141" s="240"/>
      <c r="P141" s="229">
        <f t="shared" ca="1" si="68"/>
        <v>2.3458177395633526E-2</v>
      </c>
      <c r="Q141" s="229">
        <f t="shared" ca="1" si="69"/>
        <v>1.6629848695658099E-4</v>
      </c>
      <c r="R141" s="229" t="str">
        <f t="shared" si="62"/>
        <v/>
      </c>
      <c r="S141" s="239"/>
      <c r="T141" s="229" t="str">
        <f t="shared" si="63"/>
        <v/>
      </c>
      <c r="U141" s="229" t="str">
        <f t="shared" si="64"/>
        <v/>
      </c>
      <c r="V141" s="229" t="str">
        <f t="shared" si="65"/>
        <v/>
      </c>
    </row>
    <row r="142" spans="1:22" ht="15" customHeight="1" x14ac:dyDescent="0.25">
      <c r="A142" s="205">
        <f t="shared" si="50"/>
        <v>2015</v>
      </c>
      <c r="B142" s="207">
        <f t="shared" ca="1" si="66"/>
        <v>0.57250901840306578</v>
      </c>
      <c r="C142" s="207" t="str">
        <f t="shared" si="51"/>
        <v/>
      </c>
      <c r="D142" s="207" t="str">
        <f t="shared" si="52"/>
        <v/>
      </c>
      <c r="E142" s="234" t="str">
        <f t="shared" si="53"/>
        <v/>
      </c>
      <c r="F142" s="206">
        <f t="shared" ca="1" si="67"/>
        <v>3.9076514038593108E-2</v>
      </c>
      <c r="G142" s="207" t="str">
        <f t="shared" si="54"/>
        <v/>
      </c>
      <c r="H142" s="207" t="str">
        <f t="shared" si="55"/>
        <v/>
      </c>
      <c r="I142" s="234" t="str">
        <f t="shared" si="56"/>
        <v/>
      </c>
      <c r="J142" s="601" t="str">
        <f t="shared" ca="1" si="57"/>
        <v/>
      </c>
      <c r="K142" s="232" t="str">
        <f t="shared" si="58"/>
        <v/>
      </c>
      <c r="L142" s="232" t="str">
        <f t="shared" si="59"/>
        <v/>
      </c>
      <c r="M142" s="207" t="str">
        <f t="shared" si="60"/>
        <v/>
      </c>
      <c r="N142" s="235" t="str">
        <f t="shared" si="61"/>
        <v/>
      </c>
      <c r="O142" s="240"/>
      <c r="P142" s="229">
        <f t="shared" ca="1" si="68"/>
        <v>2.3458177395633526E-2</v>
      </c>
      <c r="Q142" s="229">
        <f t="shared" ca="1" si="69"/>
        <v>1.6629848695658099E-4</v>
      </c>
      <c r="R142" s="229" t="str">
        <f t="shared" si="62"/>
        <v/>
      </c>
      <c r="S142" s="239"/>
      <c r="T142" s="229" t="str">
        <f t="shared" si="63"/>
        <v/>
      </c>
      <c r="U142" s="229" t="str">
        <f t="shared" si="64"/>
        <v/>
      </c>
      <c r="V142" s="229" t="str">
        <f t="shared" si="65"/>
        <v/>
      </c>
    </row>
    <row r="143" spans="1:22" ht="15" customHeight="1" x14ac:dyDescent="0.25">
      <c r="A143" s="205">
        <f t="shared" si="50"/>
        <v>2016</v>
      </c>
      <c r="B143" s="207">
        <f t="shared" ca="1" si="66"/>
        <v>0.53656560613300053</v>
      </c>
      <c r="C143" s="207" t="str">
        <f t="shared" si="51"/>
        <v/>
      </c>
      <c r="D143" s="207" t="str">
        <f t="shared" si="52"/>
        <v/>
      </c>
      <c r="E143" s="234" t="str">
        <f t="shared" si="53"/>
        <v/>
      </c>
      <c r="F143" s="206">
        <f t="shared" ca="1" si="67"/>
        <v>3.7747192571116771E-2</v>
      </c>
      <c r="G143" s="207" t="str">
        <f t="shared" si="54"/>
        <v/>
      </c>
      <c r="H143" s="207" t="str">
        <f t="shared" si="55"/>
        <v/>
      </c>
      <c r="I143" s="234" t="str">
        <f t="shared" si="56"/>
        <v/>
      </c>
      <c r="J143" s="601" t="str">
        <f t="shared" ca="1" si="57"/>
        <v/>
      </c>
      <c r="K143" s="232" t="str">
        <f t="shared" si="58"/>
        <v/>
      </c>
      <c r="L143" s="232" t="str">
        <f t="shared" si="59"/>
        <v/>
      </c>
      <c r="M143" s="207" t="str">
        <f t="shared" si="60"/>
        <v/>
      </c>
      <c r="N143" s="235" t="str">
        <f t="shared" si="61"/>
        <v/>
      </c>
      <c r="O143" s="240"/>
      <c r="P143" s="229">
        <f t="shared" ca="1" si="68"/>
        <v>2.3458177395633526E-2</v>
      </c>
      <c r="Q143" s="229">
        <f t="shared" ca="1" si="69"/>
        <v>1.6629848695658099E-4</v>
      </c>
      <c r="R143" s="229" t="str">
        <f t="shared" si="62"/>
        <v/>
      </c>
      <c r="S143" s="239"/>
      <c r="T143" s="229" t="str">
        <f t="shared" si="63"/>
        <v/>
      </c>
      <c r="U143" s="229" t="str">
        <f t="shared" si="64"/>
        <v/>
      </c>
      <c r="V143" s="229" t="str">
        <f t="shared" si="65"/>
        <v/>
      </c>
    </row>
    <row r="144" spans="1:22" ht="15" customHeight="1" x14ac:dyDescent="0.25">
      <c r="A144" s="205">
        <f t="shared" si="50"/>
        <v>2017</v>
      </c>
      <c r="B144" s="207">
        <f t="shared" ca="1" si="66"/>
        <v>0.62583313223692216</v>
      </c>
      <c r="C144" s="207" t="str">
        <f t="shared" si="51"/>
        <v/>
      </c>
      <c r="D144" s="207" t="str">
        <f t="shared" si="52"/>
        <v/>
      </c>
      <c r="E144" s="234" t="str">
        <f t="shared" si="53"/>
        <v/>
      </c>
      <c r="F144" s="206">
        <f t="shared" ca="1" si="67"/>
        <v>3.9274388798866633E-2</v>
      </c>
      <c r="G144" s="207" t="str">
        <f t="shared" si="54"/>
        <v/>
      </c>
      <c r="H144" s="207" t="str">
        <f t="shared" si="55"/>
        <v/>
      </c>
      <c r="I144" s="234" t="str">
        <f t="shared" si="56"/>
        <v/>
      </c>
      <c r="J144" s="601" t="str">
        <f t="shared" ca="1" si="57"/>
        <v/>
      </c>
      <c r="K144" s="232" t="str">
        <f t="shared" si="58"/>
        <v/>
      </c>
      <c r="L144" s="232" t="str">
        <f t="shared" si="59"/>
        <v/>
      </c>
      <c r="M144" s="207" t="str">
        <f t="shared" si="60"/>
        <v/>
      </c>
      <c r="N144" s="235" t="str">
        <f t="shared" si="61"/>
        <v/>
      </c>
      <c r="O144" s="240"/>
      <c r="P144" s="229">
        <f t="shared" ca="1" si="68"/>
        <v>2.3458177395633526E-2</v>
      </c>
      <c r="Q144" s="229">
        <f t="shared" ca="1" si="69"/>
        <v>1.6629848695658099E-4</v>
      </c>
      <c r="R144" s="229" t="str">
        <f t="shared" si="62"/>
        <v/>
      </c>
      <c r="S144" s="239"/>
      <c r="T144" s="229" t="str">
        <f t="shared" si="63"/>
        <v/>
      </c>
      <c r="U144" s="229" t="str">
        <f t="shared" si="64"/>
        <v/>
      </c>
      <c r="V144" s="229" t="str">
        <f t="shared" si="65"/>
        <v/>
      </c>
    </row>
    <row r="145" spans="1:22" ht="15" customHeight="1" x14ac:dyDescent="0.25">
      <c r="A145" s="205">
        <f t="shared" si="50"/>
        <v>2018</v>
      </c>
      <c r="B145" s="207">
        <f t="shared" ca="1" si="66"/>
        <v>0.68435630768749978</v>
      </c>
      <c r="C145" s="207" t="str">
        <f t="shared" si="51"/>
        <v/>
      </c>
      <c r="D145" s="207" t="str">
        <f t="shared" si="52"/>
        <v/>
      </c>
      <c r="E145" s="234" t="str">
        <f t="shared" si="53"/>
        <v/>
      </c>
      <c r="F145" s="206">
        <f t="shared" ca="1" si="67"/>
        <v>3.838425963100002E-2</v>
      </c>
      <c r="G145" s="207" t="str">
        <f t="shared" si="54"/>
        <v/>
      </c>
      <c r="H145" s="207" t="str">
        <f t="shared" si="55"/>
        <v/>
      </c>
      <c r="I145" s="234" t="str">
        <f t="shared" si="56"/>
        <v/>
      </c>
      <c r="J145" s="601" t="str">
        <f t="shared" ca="1" si="57"/>
        <v/>
      </c>
      <c r="K145" s="232" t="str">
        <f t="shared" si="58"/>
        <v/>
      </c>
      <c r="L145" s="232" t="str">
        <f t="shared" si="59"/>
        <v/>
      </c>
      <c r="M145" s="207" t="str">
        <f t="shared" si="60"/>
        <v/>
      </c>
      <c r="N145" s="235" t="str">
        <f t="shared" si="61"/>
        <v/>
      </c>
      <c r="O145" s="240"/>
      <c r="P145" s="229">
        <f t="shared" ca="1" si="68"/>
        <v>2.3458177395633526E-2</v>
      </c>
      <c r="Q145" s="229">
        <f t="shared" ca="1" si="69"/>
        <v>1.6629848695658099E-4</v>
      </c>
      <c r="R145" s="229" t="str">
        <f t="shared" si="62"/>
        <v/>
      </c>
      <c r="S145" s="239"/>
      <c r="T145" s="229" t="str">
        <f t="shared" si="63"/>
        <v/>
      </c>
      <c r="U145" s="229" t="str">
        <f t="shared" si="64"/>
        <v/>
      </c>
      <c r="V145" s="229" t="str">
        <f t="shared" si="65"/>
        <v/>
      </c>
    </row>
    <row r="146" spans="1:22" ht="15" customHeight="1" x14ac:dyDescent="0.25">
      <c r="A146" s="205">
        <f t="shared" si="50"/>
        <v>2019</v>
      </c>
      <c r="B146" s="207">
        <f t="shared" ca="1" si="66"/>
        <v>0.75020735717329989</v>
      </c>
      <c r="C146" s="207" t="str">
        <f t="shared" si="51"/>
        <v/>
      </c>
      <c r="D146" s="207" t="str">
        <f t="shared" si="52"/>
        <v/>
      </c>
      <c r="E146" s="234" t="str">
        <f t="shared" si="53"/>
        <v/>
      </c>
      <c r="F146" s="206">
        <f t="shared" ca="1" si="67"/>
        <v>3.8879155626660576E-2</v>
      </c>
      <c r="G146" s="207" t="str">
        <f t="shared" si="54"/>
        <v/>
      </c>
      <c r="H146" s="207" t="str">
        <f t="shared" si="55"/>
        <v/>
      </c>
      <c r="I146" s="234" t="str">
        <f t="shared" si="56"/>
        <v/>
      </c>
      <c r="J146" s="601" t="str">
        <f t="shared" ca="1" si="57"/>
        <v/>
      </c>
      <c r="K146" s="232" t="str">
        <f t="shared" si="58"/>
        <v/>
      </c>
      <c r="L146" s="232" t="str">
        <f t="shared" si="59"/>
        <v/>
      </c>
      <c r="M146" s="207" t="str">
        <f t="shared" si="60"/>
        <v/>
      </c>
      <c r="N146" s="235" t="str">
        <f t="shared" si="61"/>
        <v/>
      </c>
      <c r="O146" s="240"/>
      <c r="P146" s="229">
        <f t="shared" ca="1" si="68"/>
        <v>2.3458177395633526E-2</v>
      </c>
      <c r="Q146" s="229">
        <f t="shared" ca="1" si="69"/>
        <v>1.6629848695658099E-4</v>
      </c>
      <c r="R146" s="229" t="str">
        <f t="shared" si="62"/>
        <v/>
      </c>
      <c r="S146" s="239"/>
      <c r="T146" s="229" t="str">
        <f t="shared" si="63"/>
        <v/>
      </c>
      <c r="U146" s="229" t="str">
        <f t="shared" si="64"/>
        <v/>
      </c>
      <c r="V146" s="229" t="str">
        <f t="shared" si="65"/>
        <v/>
      </c>
    </row>
    <row r="147" spans="1:22" ht="15" customHeight="1" x14ac:dyDescent="0.25">
      <c r="A147" s="205">
        <f t="shared" si="50"/>
        <v>2020</v>
      </c>
      <c r="B147" s="207">
        <f t="shared" ca="1" si="66"/>
        <v>0.81530157735214803</v>
      </c>
      <c r="C147" s="207" t="str">
        <f t="shared" si="51"/>
        <v/>
      </c>
      <c r="D147" s="207" t="str">
        <f t="shared" si="52"/>
        <v/>
      </c>
      <c r="E147" s="234" t="str">
        <f t="shared" si="53"/>
        <v/>
      </c>
      <c r="F147" s="206">
        <f t="shared" ca="1" si="67"/>
        <v>3.9602520852382993E-2</v>
      </c>
      <c r="G147" s="207" t="str">
        <f t="shared" si="54"/>
        <v/>
      </c>
      <c r="H147" s="207" t="str">
        <f t="shared" si="55"/>
        <v/>
      </c>
      <c r="I147" s="234" t="str">
        <f t="shared" si="56"/>
        <v/>
      </c>
      <c r="J147" s="601" t="str">
        <f t="shared" ca="1" si="57"/>
        <v/>
      </c>
      <c r="K147" s="232" t="str">
        <f t="shared" si="58"/>
        <v/>
      </c>
      <c r="L147" s="232" t="str">
        <f t="shared" si="59"/>
        <v/>
      </c>
      <c r="M147" s="207" t="str">
        <f t="shared" si="60"/>
        <v/>
      </c>
      <c r="N147" s="235" t="str">
        <f t="shared" si="61"/>
        <v/>
      </c>
      <c r="O147" s="240"/>
      <c r="P147" s="229">
        <f t="shared" ca="1" si="68"/>
        <v>2.3458177395633526E-2</v>
      </c>
      <c r="Q147" s="229">
        <f t="shared" ca="1" si="69"/>
        <v>1.6629848695658099E-4</v>
      </c>
      <c r="R147" s="229" t="str">
        <f t="shared" si="62"/>
        <v/>
      </c>
      <c r="S147" s="239"/>
      <c r="T147" s="229" t="str">
        <f t="shared" si="63"/>
        <v/>
      </c>
      <c r="U147" s="229" t="str">
        <f t="shared" si="64"/>
        <v/>
      </c>
      <c r="V147" s="229" t="str">
        <f t="shared" si="65"/>
        <v/>
      </c>
    </row>
    <row r="148" spans="1:22" ht="15" customHeight="1" x14ac:dyDescent="0.25">
      <c r="A148" s="205">
        <f t="shared" si="50"/>
        <v>2021</v>
      </c>
      <c r="B148" s="207">
        <f t="shared" ca="1" si="66"/>
        <v>0.81616619657052403</v>
      </c>
      <c r="C148" s="207" t="str">
        <f t="shared" si="51"/>
        <v/>
      </c>
      <c r="D148" s="207" t="str">
        <f t="shared" si="52"/>
        <v/>
      </c>
      <c r="E148" s="234" t="str">
        <f t="shared" si="53"/>
        <v/>
      </c>
      <c r="F148" s="206">
        <f t="shared" ca="1" si="67"/>
        <v>3.9820638546927759E-2</v>
      </c>
      <c r="G148" s="207" t="str">
        <f t="shared" si="54"/>
        <v/>
      </c>
      <c r="H148" s="207" t="str">
        <f t="shared" si="55"/>
        <v/>
      </c>
      <c r="I148" s="234" t="str">
        <f t="shared" si="56"/>
        <v/>
      </c>
      <c r="J148" s="601" t="str">
        <f t="shared" ca="1" si="57"/>
        <v/>
      </c>
      <c r="K148" s="232" t="str">
        <f t="shared" si="58"/>
        <v/>
      </c>
      <c r="L148" s="232" t="str">
        <f t="shared" si="59"/>
        <v/>
      </c>
      <c r="M148" s="207" t="str">
        <f t="shared" si="60"/>
        <v/>
      </c>
      <c r="N148" s="235" t="str">
        <f t="shared" si="61"/>
        <v/>
      </c>
      <c r="O148" s="240"/>
      <c r="P148" s="229">
        <f t="shared" ca="1" si="68"/>
        <v>2.3458177395633526E-2</v>
      </c>
      <c r="Q148" s="229">
        <f t="shared" ca="1" si="69"/>
        <v>1.6629848695658099E-4</v>
      </c>
      <c r="R148" s="229" t="str">
        <f t="shared" si="62"/>
        <v/>
      </c>
      <c r="S148" s="239"/>
      <c r="T148" s="229" t="str">
        <f t="shared" si="63"/>
        <v/>
      </c>
      <c r="U148" s="229" t="str">
        <f t="shared" si="64"/>
        <v/>
      </c>
      <c r="V148" s="229" t="str">
        <f t="shared" si="65"/>
        <v/>
      </c>
    </row>
    <row r="149" spans="1:22" ht="15" customHeight="1" x14ac:dyDescent="0.25">
      <c r="A149" s="205">
        <f t="shared" si="50"/>
        <v>2022</v>
      </c>
      <c r="B149" s="207">
        <f t="shared" ca="1" si="66"/>
        <v>0.80714358300334366</v>
      </c>
      <c r="C149" s="207" t="str">
        <f t="shared" si="51"/>
        <v/>
      </c>
      <c r="D149" s="207" t="str">
        <f t="shared" si="52"/>
        <v/>
      </c>
      <c r="E149" s="234" t="str">
        <f t="shared" si="53"/>
        <v/>
      </c>
      <c r="F149" s="206">
        <f t="shared" ca="1" si="67"/>
        <v>4.1105957064928485E-2</v>
      </c>
      <c r="G149" s="207" t="str">
        <f t="shared" si="54"/>
        <v/>
      </c>
      <c r="H149" s="207" t="str">
        <f t="shared" si="55"/>
        <v/>
      </c>
      <c r="I149" s="234" t="str">
        <f t="shared" si="56"/>
        <v/>
      </c>
      <c r="J149" s="601" t="str">
        <f t="shared" ca="1" si="57"/>
        <v/>
      </c>
      <c r="K149" s="232" t="str">
        <f t="shared" si="58"/>
        <v/>
      </c>
      <c r="L149" s="232" t="str">
        <f t="shared" si="59"/>
        <v/>
      </c>
      <c r="M149" s="207" t="str">
        <f t="shared" si="60"/>
        <v/>
      </c>
      <c r="N149" s="235" t="str">
        <f t="shared" si="61"/>
        <v/>
      </c>
      <c r="O149" s="240"/>
      <c r="P149" s="229">
        <f t="shared" ca="1" si="68"/>
        <v>2.3458177395633526E-2</v>
      </c>
      <c r="Q149" s="229">
        <f t="shared" ca="1" si="69"/>
        <v>1.6629848695658099E-4</v>
      </c>
      <c r="R149" s="229" t="str">
        <f t="shared" si="62"/>
        <v/>
      </c>
      <c r="S149" s="239"/>
      <c r="T149" s="229" t="str">
        <f t="shared" si="63"/>
        <v/>
      </c>
      <c r="U149" s="229" t="str">
        <f t="shared" si="64"/>
        <v/>
      </c>
      <c r="V149" s="229" t="str">
        <f t="shared" si="65"/>
        <v/>
      </c>
    </row>
    <row r="150" spans="1:22" ht="15" customHeight="1" x14ac:dyDescent="0.25">
      <c r="A150" s="205">
        <f t="shared" si="50"/>
        <v>2023</v>
      </c>
      <c r="B150" s="207">
        <f t="shared" ca="1" si="66"/>
        <v>0.80899226431491622</v>
      </c>
      <c r="C150" s="207" t="str">
        <f t="shared" si="51"/>
        <v/>
      </c>
      <c r="D150" s="207" t="str">
        <f t="shared" si="52"/>
        <v/>
      </c>
      <c r="E150" s="234" t="str">
        <f t="shared" si="53"/>
        <v/>
      </c>
      <c r="F150" s="206">
        <f t="shared" ca="1" si="67"/>
        <v>4.1236238179522267E-2</v>
      </c>
      <c r="G150" s="207" t="str">
        <f t="shared" si="54"/>
        <v/>
      </c>
      <c r="H150" s="207" t="str">
        <f t="shared" si="55"/>
        <v/>
      </c>
      <c r="I150" s="234" t="str">
        <f t="shared" si="56"/>
        <v/>
      </c>
      <c r="J150" s="601" t="str">
        <f t="shared" ca="1" si="57"/>
        <v/>
      </c>
      <c r="K150" s="232" t="str">
        <f t="shared" si="58"/>
        <v/>
      </c>
      <c r="L150" s="232" t="str">
        <f t="shared" si="59"/>
        <v/>
      </c>
      <c r="M150" s="207" t="str">
        <f t="shared" si="60"/>
        <v/>
      </c>
      <c r="N150" s="235" t="str">
        <f t="shared" si="61"/>
        <v/>
      </c>
      <c r="O150" s="240"/>
      <c r="P150" s="229">
        <f t="shared" ca="1" si="68"/>
        <v>2.3458177395633526E-2</v>
      </c>
      <c r="Q150" s="229">
        <f t="shared" ca="1" si="69"/>
        <v>1.6629848695658099E-4</v>
      </c>
      <c r="R150" s="229" t="str">
        <f t="shared" si="62"/>
        <v/>
      </c>
      <c r="S150" s="239"/>
      <c r="T150" s="229" t="str">
        <f t="shared" si="63"/>
        <v/>
      </c>
      <c r="U150" s="229" t="str">
        <f t="shared" si="64"/>
        <v/>
      </c>
      <c r="V150" s="229" t="str">
        <f t="shared" si="65"/>
        <v/>
      </c>
    </row>
    <row r="151" spans="1:22" ht="15" customHeight="1" x14ac:dyDescent="0.25">
      <c r="A151" s="205">
        <f t="shared" si="50"/>
        <v>2024</v>
      </c>
      <c r="B151" s="207">
        <f t="shared" ca="1" si="66"/>
        <v>0.82286680385235489</v>
      </c>
      <c r="C151" s="207" t="str">
        <f t="shared" si="51"/>
        <v/>
      </c>
      <c r="D151" s="207" t="str">
        <f t="shared" si="52"/>
        <v/>
      </c>
      <c r="E151" s="234" t="str">
        <f t="shared" si="53"/>
        <v/>
      </c>
      <c r="F151" s="206">
        <f t="shared" ca="1" si="67"/>
        <v>4.1127532766786677E-2</v>
      </c>
      <c r="G151" s="207" t="str">
        <f t="shared" si="54"/>
        <v/>
      </c>
      <c r="H151" s="207" t="str">
        <f t="shared" si="55"/>
        <v/>
      </c>
      <c r="I151" s="234" t="str">
        <f t="shared" si="56"/>
        <v/>
      </c>
      <c r="J151" s="601" t="str">
        <f t="shared" ca="1" si="57"/>
        <v/>
      </c>
      <c r="K151" s="232" t="str">
        <f t="shared" si="58"/>
        <v/>
      </c>
      <c r="L151" s="232" t="str">
        <f t="shared" si="59"/>
        <v/>
      </c>
      <c r="M151" s="207" t="str">
        <f t="shared" si="60"/>
        <v/>
      </c>
      <c r="N151" s="235" t="str">
        <f t="shared" si="61"/>
        <v/>
      </c>
      <c r="O151" s="240"/>
      <c r="P151" s="229">
        <f t="shared" ca="1" si="68"/>
        <v>2.3458177395633526E-2</v>
      </c>
      <c r="Q151" s="229">
        <f t="shared" ca="1" si="69"/>
        <v>1.6629848695658099E-4</v>
      </c>
      <c r="R151" s="229" t="str">
        <f t="shared" si="62"/>
        <v/>
      </c>
      <c r="S151" s="239"/>
      <c r="T151" s="229" t="str">
        <f t="shared" si="63"/>
        <v/>
      </c>
      <c r="U151" s="229" t="str">
        <f t="shared" si="64"/>
        <v/>
      </c>
      <c r="V151" s="229" t="str">
        <f t="shared" si="65"/>
        <v/>
      </c>
    </row>
    <row r="152" spans="1:22" ht="15" customHeight="1" x14ac:dyDescent="0.25">
      <c r="A152" s="205">
        <f t="shared" si="50"/>
        <v>2025</v>
      </c>
      <c r="B152" s="207">
        <f t="shared" ca="1" si="66"/>
        <v>0.84097075578909863</v>
      </c>
      <c r="C152" s="207" t="str">
        <f t="shared" si="51"/>
        <v/>
      </c>
      <c r="D152" s="207" t="str">
        <f t="shared" si="52"/>
        <v/>
      </c>
      <c r="E152" s="234" t="str">
        <f t="shared" si="53"/>
        <v/>
      </c>
      <c r="F152" s="206">
        <f t="shared" ca="1" si="67"/>
        <v>4.2115068874056215E-2</v>
      </c>
      <c r="G152" s="207" t="str">
        <f t="shared" si="54"/>
        <v/>
      </c>
      <c r="H152" s="207" t="str">
        <f t="shared" si="55"/>
        <v/>
      </c>
      <c r="I152" s="234" t="str">
        <f t="shared" si="56"/>
        <v/>
      </c>
      <c r="J152" s="601" t="str">
        <f t="shared" ca="1" si="57"/>
        <v/>
      </c>
      <c r="K152" s="232" t="str">
        <f t="shared" si="58"/>
        <v/>
      </c>
      <c r="L152" s="232" t="str">
        <f t="shared" si="59"/>
        <v/>
      </c>
      <c r="M152" s="207" t="str">
        <f t="shared" si="60"/>
        <v/>
      </c>
      <c r="N152" s="235" t="str">
        <f t="shared" si="61"/>
        <v/>
      </c>
      <c r="O152" s="240"/>
      <c r="P152" s="229">
        <f t="shared" ca="1" si="68"/>
        <v>2.3458177395633526E-2</v>
      </c>
      <c r="Q152" s="229">
        <f t="shared" ca="1" si="69"/>
        <v>1.6629848695658099E-4</v>
      </c>
      <c r="R152" s="229" t="str">
        <f t="shared" si="62"/>
        <v/>
      </c>
      <c r="S152" s="239"/>
      <c r="T152" s="229" t="str">
        <f t="shared" si="63"/>
        <v/>
      </c>
      <c r="U152" s="229" t="str">
        <f t="shared" si="64"/>
        <v/>
      </c>
      <c r="V152" s="229" t="str">
        <f t="shared" si="65"/>
        <v/>
      </c>
    </row>
    <row r="153" spans="1:22" ht="15" customHeight="1" x14ac:dyDescent="0.25">
      <c r="A153" s="205">
        <f t="shared" si="50"/>
        <v>2026</v>
      </c>
      <c r="B153" s="207">
        <f t="shared" ca="1" si="66"/>
        <v>0.85969078150123424</v>
      </c>
      <c r="C153" s="207" t="str">
        <f t="shared" si="51"/>
        <v/>
      </c>
      <c r="D153" s="207" t="str">
        <f t="shared" si="52"/>
        <v/>
      </c>
      <c r="E153" s="234" t="str">
        <f t="shared" si="53"/>
        <v/>
      </c>
      <c r="F153" s="206">
        <f t="shared" ca="1" si="67"/>
        <v>4.2542764675038328E-2</v>
      </c>
      <c r="G153" s="207" t="str">
        <f t="shared" si="54"/>
        <v/>
      </c>
      <c r="H153" s="207" t="str">
        <f t="shared" si="55"/>
        <v/>
      </c>
      <c r="I153" s="234" t="str">
        <f t="shared" si="56"/>
        <v/>
      </c>
      <c r="J153" s="601" t="str">
        <f t="shared" ca="1" si="57"/>
        <v/>
      </c>
      <c r="K153" s="232" t="str">
        <f t="shared" si="58"/>
        <v/>
      </c>
      <c r="L153" s="232" t="str">
        <f t="shared" si="59"/>
        <v/>
      </c>
      <c r="M153" s="207" t="str">
        <f t="shared" si="60"/>
        <v/>
      </c>
      <c r="N153" s="235" t="str">
        <f t="shared" si="61"/>
        <v/>
      </c>
      <c r="O153" s="240"/>
      <c r="P153" s="229">
        <f t="shared" ca="1" si="68"/>
        <v>2.3458177395633526E-2</v>
      </c>
      <c r="Q153" s="229">
        <f t="shared" ca="1" si="69"/>
        <v>1.6629848695658099E-4</v>
      </c>
      <c r="R153" s="229" t="str">
        <f t="shared" si="62"/>
        <v/>
      </c>
      <c r="S153" s="239"/>
      <c r="T153" s="229" t="str">
        <f t="shared" si="63"/>
        <v/>
      </c>
      <c r="U153" s="229" t="str">
        <f t="shared" si="64"/>
        <v/>
      </c>
      <c r="V153" s="229" t="str">
        <f t="shared" si="65"/>
        <v/>
      </c>
    </row>
    <row r="154" spans="1:22" ht="15" customHeight="1" x14ac:dyDescent="0.25">
      <c r="A154" s="205">
        <f t="shared" si="50"/>
        <v>2027</v>
      </c>
      <c r="B154" s="207">
        <f t="shared" ca="1" si="66"/>
        <v>0.87468722542258082</v>
      </c>
      <c r="C154" s="207" t="str">
        <f t="shared" si="51"/>
        <v/>
      </c>
      <c r="D154" s="207" t="str">
        <f t="shared" si="52"/>
        <v/>
      </c>
      <c r="E154" s="234" t="str">
        <f t="shared" si="53"/>
        <v/>
      </c>
      <c r="F154" s="206">
        <f t="shared" ca="1" si="67"/>
        <v>4.2787884387132935E-2</v>
      </c>
      <c r="G154" s="207" t="str">
        <f t="shared" si="54"/>
        <v/>
      </c>
      <c r="H154" s="207" t="str">
        <f t="shared" si="55"/>
        <v/>
      </c>
      <c r="I154" s="234" t="str">
        <f t="shared" si="56"/>
        <v/>
      </c>
      <c r="J154" s="601" t="str">
        <f t="shared" ca="1" si="57"/>
        <v/>
      </c>
      <c r="K154" s="232" t="str">
        <f t="shared" si="58"/>
        <v/>
      </c>
      <c r="L154" s="232" t="str">
        <f t="shared" si="59"/>
        <v/>
      </c>
      <c r="M154" s="207" t="str">
        <f t="shared" si="60"/>
        <v/>
      </c>
      <c r="N154" s="235" t="str">
        <f t="shared" si="61"/>
        <v/>
      </c>
      <c r="O154" s="240"/>
      <c r="P154" s="229">
        <f t="shared" ca="1" si="68"/>
        <v>2.3458177395633526E-2</v>
      </c>
      <c r="Q154" s="229">
        <f t="shared" ca="1" si="69"/>
        <v>1.6629848695658099E-4</v>
      </c>
      <c r="R154" s="229" t="str">
        <f t="shared" si="62"/>
        <v/>
      </c>
      <c r="S154" s="239"/>
      <c r="T154" s="229" t="str">
        <f t="shared" si="63"/>
        <v/>
      </c>
      <c r="U154" s="229" t="str">
        <f t="shared" si="64"/>
        <v/>
      </c>
      <c r="V154" s="229" t="str">
        <f t="shared" si="65"/>
        <v/>
      </c>
    </row>
    <row r="155" spans="1:22" ht="15" customHeight="1" x14ac:dyDescent="0.25">
      <c r="A155" s="205">
        <f t="shared" si="50"/>
        <v>2028</v>
      </c>
      <c r="B155" s="207">
        <f t="shared" ca="1" si="66"/>
        <v>0.88955502676116149</v>
      </c>
      <c r="C155" s="207" t="str">
        <f t="shared" si="51"/>
        <v/>
      </c>
      <c r="D155" s="207" t="str">
        <f t="shared" si="52"/>
        <v/>
      </c>
      <c r="E155" s="234" t="str">
        <f t="shared" si="53"/>
        <v/>
      </c>
      <c r="F155" s="206">
        <f t="shared" ca="1" si="67"/>
        <v>4.3065899232800652E-2</v>
      </c>
      <c r="G155" s="207" t="str">
        <f t="shared" si="54"/>
        <v/>
      </c>
      <c r="H155" s="207" t="str">
        <f t="shared" si="55"/>
        <v/>
      </c>
      <c r="I155" s="234" t="str">
        <f t="shared" si="56"/>
        <v/>
      </c>
      <c r="J155" s="601" t="str">
        <f t="shared" ca="1" si="57"/>
        <v/>
      </c>
      <c r="K155" s="232" t="str">
        <f t="shared" si="58"/>
        <v/>
      </c>
      <c r="L155" s="232" t="str">
        <f t="shared" si="59"/>
        <v/>
      </c>
      <c r="M155" s="207" t="str">
        <f t="shared" si="60"/>
        <v/>
      </c>
      <c r="N155" s="235" t="str">
        <f t="shared" si="61"/>
        <v/>
      </c>
      <c r="O155" s="240"/>
      <c r="P155" s="229">
        <f t="shared" ca="1" si="68"/>
        <v>2.3458177395633526E-2</v>
      </c>
      <c r="Q155" s="229">
        <f t="shared" ca="1" si="69"/>
        <v>1.6629848695658099E-4</v>
      </c>
      <c r="R155" s="229" t="str">
        <f t="shared" si="62"/>
        <v/>
      </c>
      <c r="S155" s="239"/>
      <c r="T155" s="229" t="str">
        <f t="shared" si="63"/>
        <v/>
      </c>
      <c r="U155" s="229" t="str">
        <f t="shared" si="64"/>
        <v/>
      </c>
      <c r="V155" s="229" t="str">
        <f t="shared" si="65"/>
        <v/>
      </c>
    </row>
    <row r="156" spans="1:22" ht="15" customHeight="1" x14ac:dyDescent="0.25">
      <c r="A156" s="205">
        <f t="shared" si="50"/>
        <v>2029</v>
      </c>
      <c r="B156" s="207">
        <f t="shared" ca="1" si="66"/>
        <v>0.90204761683677681</v>
      </c>
      <c r="C156" s="207" t="str">
        <f t="shared" si="51"/>
        <v/>
      </c>
      <c r="D156" s="207" t="str">
        <f t="shared" si="52"/>
        <v/>
      </c>
      <c r="E156" s="234" t="str">
        <f t="shared" si="53"/>
        <v/>
      </c>
      <c r="F156" s="206">
        <f t="shared" ca="1" si="67"/>
        <v>4.3284325587156523E-2</v>
      </c>
      <c r="G156" s="207" t="str">
        <f t="shared" si="54"/>
        <v/>
      </c>
      <c r="H156" s="207" t="str">
        <f t="shared" si="55"/>
        <v/>
      </c>
      <c r="I156" s="234" t="str">
        <f t="shared" si="56"/>
        <v/>
      </c>
      <c r="J156" s="601" t="str">
        <f t="shared" ca="1" si="57"/>
        <v/>
      </c>
      <c r="K156" s="232" t="str">
        <f t="shared" si="58"/>
        <v/>
      </c>
      <c r="L156" s="232" t="str">
        <f t="shared" si="59"/>
        <v/>
      </c>
      <c r="M156" s="207" t="str">
        <f t="shared" si="60"/>
        <v/>
      </c>
      <c r="N156" s="235" t="str">
        <f t="shared" si="61"/>
        <v/>
      </c>
      <c r="O156" s="240"/>
      <c r="P156" s="229">
        <f t="shared" ca="1" si="68"/>
        <v>2.3458177395633526E-2</v>
      </c>
      <c r="Q156" s="229">
        <f t="shared" ca="1" si="69"/>
        <v>1.6629848695658099E-4</v>
      </c>
      <c r="R156" s="229" t="str">
        <f t="shared" si="62"/>
        <v/>
      </c>
      <c r="S156" s="239"/>
      <c r="T156" s="229" t="str">
        <f t="shared" si="63"/>
        <v/>
      </c>
      <c r="U156" s="229" t="str">
        <f t="shared" si="64"/>
        <v/>
      </c>
      <c r="V156" s="229" t="str">
        <f t="shared" si="65"/>
        <v/>
      </c>
    </row>
    <row r="157" spans="1:22" ht="15" customHeight="1" x14ac:dyDescent="0.25">
      <c r="A157" s="205">
        <f t="shared" si="50"/>
        <v>2030</v>
      </c>
      <c r="B157" s="207">
        <f t="shared" ca="1" si="66"/>
        <v>0.90516815777176285</v>
      </c>
      <c r="C157" s="207" t="str">
        <f t="shared" si="51"/>
        <v/>
      </c>
      <c r="D157" s="207" t="str">
        <f t="shared" si="52"/>
        <v/>
      </c>
      <c r="E157" s="234" t="str">
        <f t="shared" si="53"/>
        <v/>
      </c>
      <c r="F157" s="206">
        <f t="shared" ca="1" si="67"/>
        <v>4.3436073801082373E-2</v>
      </c>
      <c r="G157" s="207" t="str">
        <f t="shared" si="54"/>
        <v/>
      </c>
      <c r="H157" s="207" t="str">
        <f t="shared" si="55"/>
        <v/>
      </c>
      <c r="I157" s="234" t="str">
        <f t="shared" si="56"/>
        <v/>
      </c>
      <c r="J157" s="601" t="str">
        <f t="shared" ca="1" si="57"/>
        <v/>
      </c>
      <c r="K157" s="232" t="str">
        <f t="shared" si="58"/>
        <v/>
      </c>
      <c r="L157" s="232" t="str">
        <f t="shared" si="59"/>
        <v/>
      </c>
      <c r="M157" s="207" t="str">
        <f t="shared" si="60"/>
        <v/>
      </c>
      <c r="N157" s="235" t="str">
        <f t="shared" si="61"/>
        <v/>
      </c>
      <c r="O157" s="240"/>
      <c r="P157" s="229">
        <f t="shared" ca="1" si="68"/>
        <v>2.3458177395633526E-2</v>
      </c>
      <c r="Q157" s="229">
        <f t="shared" ca="1" si="69"/>
        <v>1.6629848695658099E-4</v>
      </c>
      <c r="R157" s="229" t="str">
        <f t="shared" si="62"/>
        <v/>
      </c>
      <c r="S157" s="239"/>
      <c r="T157" s="229" t="str">
        <f t="shared" si="63"/>
        <v/>
      </c>
      <c r="U157" s="229" t="str">
        <f t="shared" si="64"/>
        <v/>
      </c>
      <c r="V157" s="229" t="str">
        <f t="shared" si="65"/>
        <v/>
      </c>
    </row>
    <row r="158" spans="1:22" ht="15" customHeight="1" x14ac:dyDescent="0.25">
      <c r="A158" s="205">
        <f t="shared" si="50"/>
        <v>2031</v>
      </c>
      <c r="B158" s="207">
        <f t="shared" ca="1" si="66"/>
        <v>0.90905288778005722</v>
      </c>
      <c r="C158" s="207" t="str">
        <f t="shared" si="51"/>
        <v/>
      </c>
      <c r="D158" s="207" t="str">
        <f t="shared" si="52"/>
        <v/>
      </c>
      <c r="E158" s="234" t="str">
        <f t="shared" si="53"/>
        <v/>
      </c>
      <c r="F158" s="206">
        <f t="shared" ca="1" si="67"/>
        <v>4.3491100986296681E-2</v>
      </c>
      <c r="G158" s="207" t="str">
        <f t="shared" si="54"/>
        <v/>
      </c>
      <c r="H158" s="207" t="str">
        <f t="shared" si="55"/>
        <v/>
      </c>
      <c r="I158" s="234" t="str">
        <f t="shared" si="56"/>
        <v/>
      </c>
      <c r="J158" s="601" t="str">
        <f t="shared" ca="1" si="57"/>
        <v/>
      </c>
      <c r="K158" s="232" t="str">
        <f t="shared" si="58"/>
        <v/>
      </c>
      <c r="L158" s="232" t="str">
        <f t="shared" si="59"/>
        <v/>
      </c>
      <c r="M158" s="207" t="str">
        <f t="shared" si="60"/>
        <v/>
      </c>
      <c r="N158" s="235" t="str">
        <f t="shared" si="61"/>
        <v/>
      </c>
      <c r="O158" s="240"/>
      <c r="P158" s="229">
        <f t="shared" ca="1" si="68"/>
        <v>2.3458177395633526E-2</v>
      </c>
      <c r="Q158" s="229">
        <f t="shared" ca="1" si="69"/>
        <v>1.6629848695658099E-4</v>
      </c>
      <c r="R158" s="229" t="str">
        <f t="shared" si="62"/>
        <v/>
      </c>
      <c r="S158" s="239"/>
      <c r="T158" s="229" t="str">
        <f t="shared" si="63"/>
        <v/>
      </c>
      <c r="U158" s="229" t="str">
        <f t="shared" si="64"/>
        <v/>
      </c>
      <c r="V158" s="229" t="str">
        <f t="shared" si="65"/>
        <v/>
      </c>
    </row>
    <row r="159" spans="1:22" ht="15" customHeight="1" x14ac:dyDescent="0.25">
      <c r="A159" s="205">
        <f t="shared" si="50"/>
        <v>2032</v>
      </c>
      <c r="B159" s="207">
        <f t="shared" ca="1" si="66"/>
        <v>0.90677488676437878</v>
      </c>
      <c r="C159" s="207" t="str">
        <f t="shared" si="51"/>
        <v/>
      </c>
      <c r="D159" s="207" t="str">
        <f t="shared" si="52"/>
        <v/>
      </c>
      <c r="E159" s="234" t="str">
        <f t="shared" si="53"/>
        <v/>
      </c>
      <c r="F159" s="206">
        <f t="shared" ca="1" si="67"/>
        <v>4.3391876383561657E-2</v>
      </c>
      <c r="G159" s="207" t="str">
        <f t="shared" si="54"/>
        <v/>
      </c>
      <c r="H159" s="207" t="str">
        <f t="shared" si="55"/>
        <v/>
      </c>
      <c r="I159" s="234" t="str">
        <f t="shared" si="56"/>
        <v/>
      </c>
      <c r="J159" s="601" t="str">
        <f t="shared" ca="1" si="57"/>
        <v/>
      </c>
      <c r="K159" s="232" t="str">
        <f t="shared" si="58"/>
        <v/>
      </c>
      <c r="L159" s="232" t="str">
        <f t="shared" si="59"/>
        <v/>
      </c>
      <c r="M159" s="207" t="str">
        <f t="shared" si="60"/>
        <v/>
      </c>
      <c r="N159" s="235" t="str">
        <f t="shared" si="61"/>
        <v/>
      </c>
      <c r="O159" s="240"/>
      <c r="P159" s="229">
        <f t="shared" ca="1" si="68"/>
        <v>2.3458177395633526E-2</v>
      </c>
      <c r="Q159" s="229">
        <f t="shared" ca="1" si="69"/>
        <v>1.6629848695658099E-4</v>
      </c>
      <c r="R159" s="229" t="str">
        <f t="shared" si="62"/>
        <v/>
      </c>
      <c r="S159" s="239"/>
      <c r="T159" s="229" t="str">
        <f t="shared" si="63"/>
        <v/>
      </c>
      <c r="U159" s="229" t="str">
        <f t="shared" si="64"/>
        <v/>
      </c>
      <c r="V159" s="229" t="str">
        <f t="shared" si="65"/>
        <v/>
      </c>
    </row>
    <row r="160" spans="1:22" ht="15" customHeight="1" x14ac:dyDescent="0.25">
      <c r="A160" s="205">
        <f t="shared" si="50"/>
        <v>2033</v>
      </c>
      <c r="B160" s="207">
        <f t="shared" ca="1" si="66"/>
        <v>0.89776959931382849</v>
      </c>
      <c r="C160" s="207" t="str">
        <f t="shared" si="51"/>
        <v/>
      </c>
      <c r="D160" s="207" t="str">
        <f t="shared" si="52"/>
        <v/>
      </c>
      <c r="E160" s="234" t="str">
        <f t="shared" si="53"/>
        <v/>
      </c>
      <c r="F160" s="206">
        <f t="shared" ca="1" si="67"/>
        <v>4.3236776733785523E-2</v>
      </c>
      <c r="G160" s="207" t="str">
        <f t="shared" si="54"/>
        <v/>
      </c>
      <c r="H160" s="207" t="str">
        <f t="shared" si="55"/>
        <v/>
      </c>
      <c r="I160" s="234" t="str">
        <f t="shared" si="56"/>
        <v/>
      </c>
      <c r="J160" s="601" t="str">
        <f t="shared" ca="1" si="57"/>
        <v/>
      </c>
      <c r="K160" s="232" t="str">
        <f t="shared" si="58"/>
        <v/>
      </c>
      <c r="L160" s="232" t="str">
        <f t="shared" si="59"/>
        <v/>
      </c>
      <c r="M160" s="207" t="str">
        <f t="shared" si="60"/>
        <v/>
      </c>
      <c r="N160" s="235" t="str">
        <f t="shared" si="61"/>
        <v/>
      </c>
      <c r="O160" s="240"/>
      <c r="P160" s="229">
        <f t="shared" ca="1" si="68"/>
        <v>2.3458177395633526E-2</v>
      </c>
      <c r="Q160" s="229">
        <f t="shared" ca="1" si="69"/>
        <v>1.6629848695658099E-4</v>
      </c>
      <c r="R160" s="229" t="str">
        <f t="shared" si="62"/>
        <v/>
      </c>
      <c r="S160" s="239"/>
      <c r="T160" s="229" t="str">
        <f t="shared" si="63"/>
        <v/>
      </c>
      <c r="U160" s="229" t="str">
        <f t="shared" si="64"/>
        <v/>
      </c>
      <c r="V160" s="229" t="str">
        <f t="shared" si="65"/>
        <v/>
      </c>
    </row>
    <row r="161" spans="1:22" ht="15" customHeight="1" x14ac:dyDescent="0.25">
      <c r="A161" s="205">
        <f t="shared" si="50"/>
        <v>2034</v>
      </c>
      <c r="B161" s="207">
        <f t="shared" ca="1" si="66"/>
        <v>0.89754067991446063</v>
      </c>
      <c r="C161" s="207" t="str">
        <f t="shared" si="51"/>
        <v/>
      </c>
      <c r="D161" s="207" t="str">
        <f t="shared" si="52"/>
        <v/>
      </c>
      <c r="E161" s="234" t="str">
        <f t="shared" si="53"/>
        <v/>
      </c>
      <c r="F161" s="206">
        <f t="shared" ca="1" si="67"/>
        <v>4.311111789512851E-2</v>
      </c>
      <c r="G161" s="207" t="str">
        <f t="shared" si="54"/>
        <v/>
      </c>
      <c r="H161" s="207" t="str">
        <f t="shared" si="55"/>
        <v/>
      </c>
      <c r="I161" s="234" t="str">
        <f t="shared" si="56"/>
        <v/>
      </c>
      <c r="J161" s="601" t="str">
        <f t="shared" ca="1" si="57"/>
        <v/>
      </c>
      <c r="K161" s="232" t="str">
        <f t="shared" si="58"/>
        <v/>
      </c>
      <c r="L161" s="232" t="str">
        <f t="shared" si="59"/>
        <v/>
      </c>
      <c r="M161" s="207" t="str">
        <f t="shared" si="60"/>
        <v/>
      </c>
      <c r="N161" s="235" t="str">
        <f t="shared" si="61"/>
        <v/>
      </c>
      <c r="O161" s="240"/>
      <c r="P161" s="229">
        <f t="shared" ca="1" si="68"/>
        <v>2.3458177395633526E-2</v>
      </c>
      <c r="Q161" s="229">
        <f t="shared" ca="1" si="69"/>
        <v>1.6629848695658099E-4</v>
      </c>
      <c r="R161" s="229" t="str">
        <f t="shared" si="62"/>
        <v/>
      </c>
      <c r="S161" s="239"/>
      <c r="T161" s="229" t="str">
        <f t="shared" si="63"/>
        <v/>
      </c>
      <c r="U161" s="229" t="str">
        <f t="shared" si="64"/>
        <v/>
      </c>
      <c r="V161" s="229" t="str">
        <f t="shared" si="65"/>
        <v/>
      </c>
    </row>
    <row r="162" spans="1:22" ht="15" customHeight="1" x14ac:dyDescent="0.25">
      <c r="A162" s="205">
        <f t="shared" si="50"/>
        <v>2035</v>
      </c>
      <c r="B162" s="207">
        <f t="shared" ca="1" si="66"/>
        <v>0.91148590387461115</v>
      </c>
      <c r="C162" s="207" t="str">
        <f t="shared" si="51"/>
        <v/>
      </c>
      <c r="D162" s="207" t="str">
        <f t="shared" si="52"/>
        <v/>
      </c>
      <c r="E162" s="234" t="str">
        <f t="shared" si="53"/>
        <v/>
      </c>
      <c r="F162" s="206">
        <f t="shared" ca="1" si="67"/>
        <v>4.3263559640975627E-2</v>
      </c>
      <c r="G162" s="207" t="str">
        <f t="shared" si="54"/>
        <v/>
      </c>
      <c r="H162" s="207" t="str">
        <f t="shared" si="55"/>
        <v/>
      </c>
      <c r="I162" s="234" t="str">
        <f t="shared" si="56"/>
        <v/>
      </c>
      <c r="J162" s="601" t="str">
        <f t="shared" ca="1" si="57"/>
        <v/>
      </c>
      <c r="K162" s="232" t="str">
        <f t="shared" si="58"/>
        <v/>
      </c>
      <c r="L162" s="232" t="str">
        <f t="shared" si="59"/>
        <v/>
      </c>
      <c r="M162" s="207" t="str">
        <f t="shared" si="60"/>
        <v/>
      </c>
      <c r="N162" s="235" t="str">
        <f t="shared" si="61"/>
        <v/>
      </c>
      <c r="O162" s="240"/>
      <c r="P162" s="229">
        <f t="shared" ca="1" si="68"/>
        <v>2.3458177395633526E-2</v>
      </c>
      <c r="Q162" s="229">
        <f t="shared" ca="1" si="69"/>
        <v>1.6629848695658099E-4</v>
      </c>
      <c r="R162" s="229" t="str">
        <f t="shared" si="62"/>
        <v/>
      </c>
      <c r="S162" s="239"/>
      <c r="T162" s="229" t="str">
        <f t="shared" si="63"/>
        <v/>
      </c>
      <c r="U162" s="229" t="str">
        <f t="shared" si="64"/>
        <v/>
      </c>
      <c r="V162" s="229" t="str">
        <f t="shared" si="65"/>
        <v/>
      </c>
    </row>
    <row r="163" spans="1:22" ht="15" customHeight="1" x14ac:dyDescent="0.25">
      <c r="A163" s="205">
        <f t="shared" si="50"/>
        <v>2036</v>
      </c>
      <c r="B163" s="207">
        <f t="shared" ca="1" si="66"/>
        <v>0.91209139798586603</v>
      </c>
      <c r="C163" s="207" t="str">
        <f t="shared" si="51"/>
        <v/>
      </c>
      <c r="D163" s="207" t="str">
        <f t="shared" si="52"/>
        <v/>
      </c>
      <c r="E163" s="234" t="str">
        <f t="shared" si="53"/>
        <v/>
      </c>
      <c r="F163" s="206">
        <f t="shared" ca="1" si="67"/>
        <v>4.3420861826194021E-2</v>
      </c>
      <c r="G163" s="207" t="str">
        <f t="shared" si="54"/>
        <v/>
      </c>
      <c r="H163" s="207" t="str">
        <f t="shared" si="55"/>
        <v/>
      </c>
      <c r="I163" s="234" t="str">
        <f t="shared" si="56"/>
        <v/>
      </c>
      <c r="J163" s="601" t="str">
        <f t="shared" ca="1" si="57"/>
        <v/>
      </c>
      <c r="K163" s="232" t="str">
        <f t="shared" si="58"/>
        <v/>
      </c>
      <c r="L163" s="232" t="str">
        <f t="shared" si="59"/>
        <v/>
      </c>
      <c r="M163" s="207" t="str">
        <f t="shared" si="60"/>
        <v/>
      </c>
      <c r="N163" s="235" t="str">
        <f t="shared" si="61"/>
        <v/>
      </c>
      <c r="O163" s="240"/>
      <c r="P163" s="229">
        <f t="shared" ca="1" si="68"/>
        <v>2.3458177395633526E-2</v>
      </c>
      <c r="Q163" s="229">
        <f t="shared" ca="1" si="69"/>
        <v>1.6629848695658099E-4</v>
      </c>
      <c r="R163" s="229" t="str">
        <f t="shared" si="62"/>
        <v/>
      </c>
      <c r="S163" s="239"/>
      <c r="T163" s="229" t="str">
        <f t="shared" si="63"/>
        <v/>
      </c>
      <c r="U163" s="229" t="str">
        <f t="shared" si="64"/>
        <v/>
      </c>
      <c r="V163" s="229" t="str">
        <f t="shared" si="65"/>
        <v/>
      </c>
    </row>
    <row r="164" spans="1:22" ht="15" customHeight="1" x14ac:dyDescent="0.25">
      <c r="A164" s="205">
        <f t="shared" si="50"/>
        <v>2037</v>
      </c>
      <c r="B164" s="207">
        <f t="shared" ca="1" si="66"/>
        <v>0.91376114497790617</v>
      </c>
      <c r="C164" s="207" t="str">
        <f t="shared" si="51"/>
        <v/>
      </c>
      <c r="D164" s="207" t="str">
        <f t="shared" si="52"/>
        <v/>
      </c>
      <c r="E164" s="234" t="str">
        <f t="shared" si="53"/>
        <v/>
      </c>
      <c r="F164" s="206">
        <f t="shared" ca="1" si="67"/>
        <v>4.3388031473075087E-2</v>
      </c>
      <c r="G164" s="207" t="str">
        <f t="shared" si="54"/>
        <v/>
      </c>
      <c r="H164" s="207" t="str">
        <f t="shared" si="55"/>
        <v/>
      </c>
      <c r="I164" s="234" t="str">
        <f t="shared" si="56"/>
        <v/>
      </c>
      <c r="J164" s="601" t="str">
        <f t="shared" ca="1" si="57"/>
        <v/>
      </c>
      <c r="K164" s="232" t="str">
        <f t="shared" si="58"/>
        <v/>
      </c>
      <c r="L164" s="232" t="str">
        <f t="shared" si="59"/>
        <v/>
      </c>
      <c r="M164" s="207" t="str">
        <f t="shared" si="60"/>
        <v/>
      </c>
      <c r="N164" s="235" t="str">
        <f t="shared" si="61"/>
        <v/>
      </c>
      <c r="O164" s="240"/>
      <c r="P164" s="229">
        <f t="shared" ca="1" si="68"/>
        <v>2.3458177395633526E-2</v>
      </c>
      <c r="Q164" s="229">
        <f t="shared" ca="1" si="69"/>
        <v>1.6629848695658099E-4</v>
      </c>
      <c r="R164" s="229" t="str">
        <f t="shared" si="62"/>
        <v/>
      </c>
      <c r="S164" s="239"/>
      <c r="T164" s="229" t="str">
        <f t="shared" si="63"/>
        <v/>
      </c>
      <c r="U164" s="229" t="str">
        <f t="shared" si="64"/>
        <v/>
      </c>
      <c r="V164" s="229" t="str">
        <f t="shared" si="65"/>
        <v/>
      </c>
    </row>
    <row r="165" spans="1:22" ht="15" customHeight="1" x14ac:dyDescent="0.25">
      <c r="A165" s="205">
        <f t="shared" si="50"/>
        <v>2038</v>
      </c>
      <c r="B165" s="207">
        <f t="shared" ca="1" si="66"/>
        <v>0.91287076657728383</v>
      </c>
      <c r="C165" s="207" t="str">
        <f t="shared" si="51"/>
        <v/>
      </c>
      <c r="D165" s="207" t="str">
        <f t="shared" si="52"/>
        <v/>
      </c>
      <c r="E165" s="234" t="str">
        <f t="shared" si="53"/>
        <v/>
      </c>
      <c r="F165" s="206">
        <f t="shared" ca="1" si="67"/>
        <v>4.339766851828869E-2</v>
      </c>
      <c r="G165" s="207" t="str">
        <f t="shared" si="54"/>
        <v/>
      </c>
      <c r="H165" s="207" t="str">
        <f t="shared" si="55"/>
        <v/>
      </c>
      <c r="I165" s="234" t="str">
        <f t="shared" si="56"/>
        <v/>
      </c>
      <c r="J165" s="601" t="str">
        <f t="shared" ca="1" si="57"/>
        <v/>
      </c>
      <c r="K165" s="232" t="str">
        <f t="shared" si="58"/>
        <v/>
      </c>
      <c r="L165" s="232" t="str">
        <f t="shared" si="59"/>
        <v/>
      </c>
      <c r="M165" s="207" t="str">
        <f t="shared" si="60"/>
        <v/>
      </c>
      <c r="N165" s="235" t="str">
        <f t="shared" si="61"/>
        <v/>
      </c>
      <c r="O165" s="240"/>
      <c r="P165" s="229">
        <f t="shared" ca="1" si="68"/>
        <v>2.3458177395633526E-2</v>
      </c>
      <c r="Q165" s="229">
        <f t="shared" ca="1" si="69"/>
        <v>1.6629848695658099E-4</v>
      </c>
      <c r="R165" s="229" t="str">
        <f t="shared" si="62"/>
        <v/>
      </c>
      <c r="S165" s="239"/>
      <c r="T165" s="229" t="str">
        <f t="shared" si="63"/>
        <v/>
      </c>
      <c r="U165" s="229" t="str">
        <f t="shared" si="64"/>
        <v/>
      </c>
      <c r="V165" s="229" t="str">
        <f t="shared" si="65"/>
        <v/>
      </c>
    </row>
    <row r="166" spans="1:22" ht="15" customHeight="1" x14ac:dyDescent="0.25">
      <c r="A166" s="205">
        <f t="shared" si="50"/>
        <v>2039</v>
      </c>
      <c r="B166" s="207">
        <f t="shared" ca="1" si="66"/>
        <v>0.91633690987407501</v>
      </c>
      <c r="C166" s="207" t="str">
        <f t="shared" si="51"/>
        <v/>
      </c>
      <c r="D166" s="207" t="str">
        <f t="shared" si="52"/>
        <v/>
      </c>
      <c r="E166" s="234" t="str">
        <f t="shared" si="53"/>
        <v/>
      </c>
      <c r="F166" s="206">
        <f t="shared" ca="1" si="67"/>
        <v>4.3431255278475585E-2</v>
      </c>
      <c r="G166" s="207" t="str">
        <f t="shared" si="54"/>
        <v/>
      </c>
      <c r="H166" s="207" t="str">
        <f t="shared" si="55"/>
        <v/>
      </c>
      <c r="I166" s="234" t="str">
        <f t="shared" si="56"/>
        <v/>
      </c>
      <c r="J166" s="601" t="str">
        <f t="shared" ca="1" si="57"/>
        <v/>
      </c>
      <c r="K166" s="232" t="str">
        <f t="shared" si="58"/>
        <v/>
      </c>
      <c r="L166" s="232" t="str">
        <f t="shared" si="59"/>
        <v/>
      </c>
      <c r="M166" s="207" t="str">
        <f t="shared" si="60"/>
        <v/>
      </c>
      <c r="N166" s="235" t="str">
        <f t="shared" si="61"/>
        <v/>
      </c>
      <c r="O166" s="240"/>
      <c r="P166" s="229">
        <f t="shared" ca="1" si="68"/>
        <v>2.3458177395633526E-2</v>
      </c>
      <c r="Q166" s="229">
        <f t="shared" ca="1" si="69"/>
        <v>1.6629848695658099E-4</v>
      </c>
      <c r="R166" s="229" t="str">
        <f t="shared" si="62"/>
        <v/>
      </c>
      <c r="S166" s="239"/>
      <c r="T166" s="229" t="str">
        <f t="shared" si="63"/>
        <v/>
      </c>
      <c r="U166" s="229" t="str">
        <f t="shared" si="64"/>
        <v/>
      </c>
      <c r="V166" s="229" t="str">
        <f t="shared" si="65"/>
        <v/>
      </c>
    </row>
    <row r="167" spans="1:22" ht="15" customHeight="1" x14ac:dyDescent="0.25">
      <c r="A167" s="205">
        <f t="shared" si="50"/>
        <v>2040</v>
      </c>
      <c r="B167" s="207">
        <f t="shared" ca="1" si="66"/>
        <v>0.90939557690101303</v>
      </c>
      <c r="C167" s="207" t="str">
        <f t="shared" si="51"/>
        <v/>
      </c>
      <c r="D167" s="207" t="str">
        <f t="shared" si="52"/>
        <v/>
      </c>
      <c r="E167" s="234" t="str">
        <f t="shared" si="53"/>
        <v/>
      </c>
      <c r="F167" s="206">
        <f t="shared" ca="1" si="67"/>
        <v>4.3329420404498442E-2</v>
      </c>
      <c r="G167" s="207" t="str">
        <f t="shared" si="54"/>
        <v/>
      </c>
      <c r="H167" s="207" t="str">
        <f t="shared" si="55"/>
        <v/>
      </c>
      <c r="I167" s="234" t="str">
        <f t="shared" si="56"/>
        <v/>
      </c>
      <c r="J167" s="601" t="str">
        <f t="shared" ca="1" si="57"/>
        <v/>
      </c>
      <c r="K167" s="232" t="str">
        <f t="shared" si="58"/>
        <v/>
      </c>
      <c r="L167" s="232" t="str">
        <f t="shared" si="59"/>
        <v/>
      </c>
      <c r="M167" s="207" t="str">
        <f t="shared" si="60"/>
        <v/>
      </c>
      <c r="N167" s="235" t="str">
        <f t="shared" si="61"/>
        <v/>
      </c>
      <c r="O167" s="240"/>
      <c r="P167" s="229">
        <f t="shared" ca="1" si="68"/>
        <v>2.3458177395633526E-2</v>
      </c>
      <c r="Q167" s="229">
        <f t="shared" ca="1" si="69"/>
        <v>1.6629848695658099E-4</v>
      </c>
      <c r="R167" s="229" t="str">
        <f t="shared" si="62"/>
        <v/>
      </c>
      <c r="S167" s="239"/>
      <c r="T167" s="229" t="str">
        <f t="shared" si="63"/>
        <v/>
      </c>
      <c r="U167" s="229" t="str">
        <f t="shared" si="64"/>
        <v/>
      </c>
      <c r="V167" s="229" t="str">
        <f t="shared" si="65"/>
        <v/>
      </c>
    </row>
    <row r="168" spans="1:22" ht="15" customHeight="1" x14ac:dyDescent="0.25">
      <c r="A168" s="205">
        <f t="shared" si="50"/>
        <v>2041</v>
      </c>
      <c r="B168" s="207">
        <f t="shared" ca="1" si="66"/>
        <v>0.91013109355122579</v>
      </c>
      <c r="C168" s="207" t="str">
        <f t="shared" si="51"/>
        <v/>
      </c>
      <c r="D168" s="207" t="str">
        <f t="shared" si="52"/>
        <v/>
      </c>
      <c r="E168" s="234" t="str">
        <f t="shared" si="53"/>
        <v/>
      </c>
      <c r="F168" s="206">
        <f t="shared" ca="1" si="67"/>
        <v>4.3201991535196237E-2</v>
      </c>
      <c r="G168" s="207" t="str">
        <f t="shared" si="54"/>
        <v/>
      </c>
      <c r="H168" s="207" t="str">
        <f t="shared" si="55"/>
        <v/>
      </c>
      <c r="I168" s="234" t="str">
        <f t="shared" si="56"/>
        <v/>
      </c>
      <c r="J168" s="601" t="str">
        <f t="shared" ca="1" si="57"/>
        <v/>
      </c>
      <c r="K168" s="232" t="str">
        <f t="shared" si="58"/>
        <v/>
      </c>
      <c r="L168" s="232" t="str">
        <f t="shared" si="59"/>
        <v/>
      </c>
      <c r="M168" s="207" t="str">
        <f t="shared" si="60"/>
        <v/>
      </c>
      <c r="N168" s="235" t="str">
        <f t="shared" si="61"/>
        <v/>
      </c>
      <c r="O168" s="240"/>
      <c r="P168" s="229">
        <f t="shared" ca="1" si="68"/>
        <v>2.3458177395633526E-2</v>
      </c>
      <c r="Q168" s="229">
        <f t="shared" ca="1" si="69"/>
        <v>1.6629848695658099E-4</v>
      </c>
      <c r="R168" s="229" t="str">
        <f t="shared" si="62"/>
        <v/>
      </c>
      <c r="S168" s="239"/>
      <c r="T168" s="229" t="str">
        <f t="shared" si="63"/>
        <v/>
      </c>
      <c r="U168" s="229" t="str">
        <f t="shared" si="64"/>
        <v/>
      </c>
      <c r="V168" s="229" t="str">
        <f t="shared" si="65"/>
        <v/>
      </c>
    </row>
    <row r="169" spans="1:22" ht="15" customHeight="1" x14ac:dyDescent="0.25">
      <c r="A169" s="205">
        <f t="shared" si="50"/>
        <v>2042</v>
      </c>
      <c r="B169" s="207">
        <f t="shared" ca="1" si="66"/>
        <v>0.91889427535435375</v>
      </c>
      <c r="C169" s="207" t="str">
        <f t="shared" si="51"/>
        <v/>
      </c>
      <c r="D169" s="207" t="str">
        <f t="shared" si="52"/>
        <v/>
      </c>
      <c r="E169" s="234" t="str">
        <f t="shared" si="53"/>
        <v/>
      </c>
      <c r="F169" s="206">
        <f t="shared" ca="1" si="67"/>
        <v>4.3252099216507502E-2</v>
      </c>
      <c r="G169" s="207" t="str">
        <f t="shared" si="54"/>
        <v/>
      </c>
      <c r="H169" s="207" t="str">
        <f t="shared" si="55"/>
        <v/>
      </c>
      <c r="I169" s="234" t="str">
        <f t="shared" si="56"/>
        <v/>
      </c>
      <c r="J169" s="601" t="str">
        <f t="shared" ca="1" si="57"/>
        <v/>
      </c>
      <c r="K169" s="232" t="str">
        <f t="shared" si="58"/>
        <v/>
      </c>
      <c r="L169" s="232" t="str">
        <f t="shared" si="59"/>
        <v/>
      </c>
      <c r="M169" s="207" t="str">
        <f t="shared" si="60"/>
        <v/>
      </c>
      <c r="N169" s="235" t="str">
        <f t="shared" si="61"/>
        <v/>
      </c>
      <c r="O169" s="240"/>
      <c r="P169" s="229">
        <f t="shared" ca="1" si="68"/>
        <v>2.3458177395633526E-2</v>
      </c>
      <c r="Q169" s="229">
        <f t="shared" ca="1" si="69"/>
        <v>1.6629848695658099E-4</v>
      </c>
      <c r="R169" s="229" t="str">
        <f t="shared" si="62"/>
        <v/>
      </c>
      <c r="S169" s="239"/>
      <c r="T169" s="229" t="str">
        <f t="shared" si="63"/>
        <v/>
      </c>
      <c r="U169" s="229" t="str">
        <f t="shared" si="64"/>
        <v/>
      </c>
      <c r="V169" s="229" t="str">
        <f t="shared" si="65"/>
        <v/>
      </c>
    </row>
    <row r="170" spans="1:22" ht="15" customHeight="1" x14ac:dyDescent="0.25">
      <c r="A170" s="205">
        <f t="shared" si="50"/>
        <v>2043</v>
      </c>
      <c r="B170" s="207">
        <f t="shared" ca="1" si="66"/>
        <v>0.93230744953834455</v>
      </c>
      <c r="C170" s="207" t="str">
        <f t="shared" si="51"/>
        <v/>
      </c>
      <c r="D170" s="207" t="str">
        <f t="shared" si="52"/>
        <v/>
      </c>
      <c r="E170" s="234" t="str">
        <f t="shared" si="53"/>
        <v/>
      </c>
      <c r="F170" s="206">
        <f t="shared" ca="1" si="67"/>
        <v>4.338409510782968E-2</v>
      </c>
      <c r="G170" s="207" t="str">
        <f t="shared" si="54"/>
        <v/>
      </c>
      <c r="H170" s="207" t="str">
        <f t="shared" si="55"/>
        <v/>
      </c>
      <c r="I170" s="234" t="str">
        <f t="shared" si="56"/>
        <v/>
      </c>
      <c r="J170" s="601" t="str">
        <f t="shared" ca="1" si="57"/>
        <v/>
      </c>
      <c r="K170" s="232" t="str">
        <f t="shared" si="58"/>
        <v/>
      </c>
      <c r="L170" s="232" t="str">
        <f t="shared" si="59"/>
        <v/>
      </c>
      <c r="M170" s="207" t="str">
        <f t="shared" si="60"/>
        <v/>
      </c>
      <c r="N170" s="235" t="str">
        <f t="shared" si="61"/>
        <v/>
      </c>
      <c r="O170" s="240"/>
      <c r="P170" s="229">
        <f t="shared" ca="1" si="68"/>
        <v>2.3458177395633526E-2</v>
      </c>
      <c r="Q170" s="229">
        <f t="shared" ca="1" si="69"/>
        <v>1.6629848695658099E-4</v>
      </c>
      <c r="R170" s="229" t="str">
        <f t="shared" si="62"/>
        <v/>
      </c>
      <c r="S170" s="239"/>
      <c r="T170" s="229" t="str">
        <f t="shared" si="63"/>
        <v/>
      </c>
      <c r="U170" s="229" t="str">
        <f t="shared" si="64"/>
        <v/>
      </c>
      <c r="V170" s="229" t="str">
        <f t="shared" si="65"/>
        <v/>
      </c>
    </row>
    <row r="171" spans="1:22" ht="15" customHeight="1" x14ac:dyDescent="0.25">
      <c r="A171" s="205">
        <f t="shared" si="50"/>
        <v>2044</v>
      </c>
      <c r="B171" s="207">
        <f t="shared" ca="1" si="66"/>
        <v>0.94150071768790689</v>
      </c>
      <c r="C171" s="207" t="str">
        <f t="shared" si="51"/>
        <v/>
      </c>
      <c r="D171" s="207" t="str">
        <f t="shared" si="52"/>
        <v/>
      </c>
      <c r="E171" s="234" t="str">
        <f t="shared" si="53"/>
        <v/>
      </c>
      <c r="F171" s="206">
        <f t="shared" ca="1" si="67"/>
        <v>4.3547560962732927E-2</v>
      </c>
      <c r="G171" s="207" t="str">
        <f t="shared" si="54"/>
        <v/>
      </c>
      <c r="H171" s="207" t="str">
        <f t="shared" si="55"/>
        <v/>
      </c>
      <c r="I171" s="234" t="str">
        <f t="shared" si="56"/>
        <v/>
      </c>
      <c r="J171" s="601" t="str">
        <f t="shared" ca="1" si="57"/>
        <v/>
      </c>
      <c r="K171" s="232" t="str">
        <f t="shared" si="58"/>
        <v/>
      </c>
      <c r="L171" s="232" t="str">
        <f t="shared" si="59"/>
        <v/>
      </c>
      <c r="M171" s="207" t="str">
        <f t="shared" si="60"/>
        <v/>
      </c>
      <c r="N171" s="235" t="str">
        <f t="shared" si="61"/>
        <v/>
      </c>
      <c r="O171" s="240"/>
      <c r="P171" s="229">
        <f t="shared" ca="1" si="68"/>
        <v>2.3458177395633526E-2</v>
      </c>
      <c r="Q171" s="229">
        <f t="shared" ca="1" si="69"/>
        <v>1.6629848695658099E-4</v>
      </c>
      <c r="R171" s="229" t="str">
        <f t="shared" si="62"/>
        <v/>
      </c>
      <c r="S171" s="239"/>
      <c r="T171" s="229" t="str">
        <f t="shared" si="63"/>
        <v/>
      </c>
      <c r="U171" s="229" t="str">
        <f t="shared" si="64"/>
        <v/>
      </c>
      <c r="V171" s="229" t="str">
        <f t="shared" si="65"/>
        <v/>
      </c>
    </row>
    <row r="172" spans="1:22" ht="15" customHeight="1" x14ac:dyDescent="0.25">
      <c r="A172" s="205">
        <f t="shared" si="50"/>
        <v>2045</v>
      </c>
      <c r="B172" s="207">
        <f t="shared" ca="1" si="66"/>
        <v>0.95359020722706</v>
      </c>
      <c r="C172" s="207" t="str">
        <f t="shared" si="51"/>
        <v/>
      </c>
      <c r="D172" s="207" t="str">
        <f t="shared" si="52"/>
        <v/>
      </c>
      <c r="E172" s="234" t="str">
        <f t="shared" si="53"/>
        <v/>
      </c>
      <c r="F172" s="206">
        <f t="shared" ca="1" si="67"/>
        <v>4.3706638894518944E-2</v>
      </c>
      <c r="G172" s="207" t="str">
        <f t="shared" si="54"/>
        <v/>
      </c>
      <c r="H172" s="207" t="str">
        <f t="shared" si="55"/>
        <v/>
      </c>
      <c r="I172" s="234" t="str">
        <f t="shared" si="56"/>
        <v/>
      </c>
      <c r="J172" s="601" t="str">
        <f t="shared" ca="1" si="57"/>
        <v/>
      </c>
      <c r="K172" s="232" t="str">
        <f t="shared" si="58"/>
        <v/>
      </c>
      <c r="L172" s="232" t="str">
        <f t="shared" si="59"/>
        <v/>
      </c>
      <c r="M172" s="207" t="str">
        <f t="shared" si="60"/>
        <v/>
      </c>
      <c r="N172" s="235" t="str">
        <f t="shared" si="61"/>
        <v/>
      </c>
      <c r="O172" s="240"/>
      <c r="P172" s="229">
        <f t="shared" ca="1" si="68"/>
        <v>2.3458177395633526E-2</v>
      </c>
      <c r="Q172" s="229">
        <f t="shared" ca="1" si="69"/>
        <v>1.6629848695658099E-4</v>
      </c>
      <c r="R172" s="229" t="str">
        <f t="shared" si="62"/>
        <v/>
      </c>
      <c r="S172" s="239"/>
      <c r="T172" s="229" t="str">
        <f t="shared" si="63"/>
        <v/>
      </c>
      <c r="U172" s="229" t="str">
        <f t="shared" si="64"/>
        <v/>
      </c>
      <c r="V172" s="229" t="str">
        <f t="shared" si="65"/>
        <v/>
      </c>
    </row>
    <row r="173" spans="1:22" ht="15" customHeight="1" x14ac:dyDescent="0.25">
      <c r="A173" s="205">
        <f t="shared" si="50"/>
        <v>2046</v>
      </c>
      <c r="B173" s="207">
        <f t="shared" ca="1" si="66"/>
        <v>0.96283223382873162</v>
      </c>
      <c r="C173" s="207" t="str">
        <f t="shared" si="51"/>
        <v/>
      </c>
      <c r="D173" s="207" t="str">
        <f t="shared" si="52"/>
        <v/>
      </c>
      <c r="E173" s="234" t="str">
        <f t="shared" si="53"/>
        <v/>
      </c>
      <c r="F173" s="206">
        <f t="shared" ca="1" si="67"/>
        <v>4.3868374730233972E-2</v>
      </c>
      <c r="G173" s="207" t="str">
        <f t="shared" si="54"/>
        <v/>
      </c>
      <c r="H173" s="207" t="str">
        <f t="shared" si="55"/>
        <v/>
      </c>
      <c r="I173" s="234" t="str">
        <f t="shared" si="56"/>
        <v/>
      </c>
      <c r="J173" s="601" t="str">
        <f t="shared" ca="1" si="57"/>
        <v/>
      </c>
      <c r="K173" s="232" t="str">
        <f t="shared" si="58"/>
        <v/>
      </c>
      <c r="L173" s="232" t="str">
        <f t="shared" si="59"/>
        <v/>
      </c>
      <c r="M173" s="207" t="str">
        <f t="shared" si="60"/>
        <v/>
      </c>
      <c r="N173" s="235" t="str">
        <f t="shared" si="61"/>
        <v/>
      </c>
      <c r="O173" s="240"/>
      <c r="P173" s="229">
        <f t="shared" ca="1" si="68"/>
        <v>2.3458177395633526E-2</v>
      </c>
      <c r="Q173" s="229">
        <f t="shared" ca="1" si="69"/>
        <v>1.6629848695658099E-4</v>
      </c>
      <c r="R173" s="229" t="str">
        <f t="shared" si="62"/>
        <v/>
      </c>
      <c r="S173" s="239"/>
      <c r="T173" s="229" t="str">
        <f t="shared" si="63"/>
        <v/>
      </c>
      <c r="U173" s="229" t="str">
        <f t="shared" si="64"/>
        <v/>
      </c>
      <c r="V173" s="229" t="str">
        <f t="shared" si="65"/>
        <v/>
      </c>
    </row>
    <row r="174" spans="1:22" ht="15" customHeight="1" x14ac:dyDescent="0.25">
      <c r="A174" s="205">
        <f t="shared" si="50"/>
        <v>2047</v>
      </c>
      <c r="B174" s="207">
        <f t="shared" ca="1" si="66"/>
        <v>0.97296939201346366</v>
      </c>
      <c r="C174" s="207" t="str">
        <f t="shared" si="51"/>
        <v/>
      </c>
      <c r="D174" s="207" t="str">
        <f t="shared" si="52"/>
        <v/>
      </c>
      <c r="E174" s="234" t="str">
        <f t="shared" si="53"/>
        <v/>
      </c>
      <c r="F174" s="206">
        <f t="shared" ca="1" si="67"/>
        <v>4.4013511527218122E-2</v>
      </c>
      <c r="G174" s="207" t="str">
        <f t="shared" si="54"/>
        <v/>
      </c>
      <c r="H174" s="207" t="str">
        <f t="shared" si="55"/>
        <v/>
      </c>
      <c r="I174" s="234" t="str">
        <f t="shared" si="56"/>
        <v/>
      </c>
      <c r="J174" s="601" t="str">
        <f t="shared" ca="1" si="57"/>
        <v/>
      </c>
      <c r="K174" s="232" t="str">
        <f t="shared" si="58"/>
        <v/>
      </c>
      <c r="L174" s="232" t="str">
        <f t="shared" si="59"/>
        <v/>
      </c>
      <c r="M174" s="207" t="str">
        <f t="shared" si="60"/>
        <v/>
      </c>
      <c r="N174" s="235" t="str">
        <f t="shared" si="61"/>
        <v/>
      </c>
      <c r="O174" s="240"/>
      <c r="P174" s="229">
        <f t="shared" ca="1" si="68"/>
        <v>2.3458177395633526E-2</v>
      </c>
      <c r="Q174" s="229">
        <f t="shared" ca="1" si="69"/>
        <v>1.6629848695658099E-4</v>
      </c>
      <c r="R174" s="229" t="str">
        <f t="shared" si="62"/>
        <v/>
      </c>
      <c r="S174" s="239"/>
      <c r="T174" s="229" t="str">
        <f t="shared" si="63"/>
        <v/>
      </c>
      <c r="U174" s="229" t="str">
        <f t="shared" si="64"/>
        <v/>
      </c>
      <c r="V174" s="229" t="str">
        <f t="shared" si="65"/>
        <v/>
      </c>
    </row>
    <row r="175" spans="1:22" ht="15" customHeight="1" x14ac:dyDescent="0.25">
      <c r="A175" s="205">
        <f t="shared" si="50"/>
        <v>2048</v>
      </c>
      <c r="B175" s="207">
        <f t="shared" ca="1" si="66"/>
        <v>0.99080348585048372</v>
      </c>
      <c r="C175" s="207" t="str">
        <f t="shared" si="51"/>
        <v/>
      </c>
      <c r="D175" s="207" t="str">
        <f t="shared" si="52"/>
        <v/>
      </c>
      <c r="E175" s="234" t="str">
        <f t="shared" si="53"/>
        <v/>
      </c>
      <c r="F175" s="206">
        <f t="shared" ca="1" si="67"/>
        <v>4.4176769703606476E-2</v>
      </c>
      <c r="G175" s="207" t="str">
        <f t="shared" si="54"/>
        <v/>
      </c>
      <c r="H175" s="207" t="str">
        <f t="shared" si="55"/>
        <v/>
      </c>
      <c r="I175" s="234" t="str">
        <f t="shared" si="56"/>
        <v/>
      </c>
      <c r="J175" s="601" t="str">
        <f t="shared" ca="1" si="57"/>
        <v/>
      </c>
      <c r="K175" s="232" t="str">
        <f t="shared" si="58"/>
        <v/>
      </c>
      <c r="L175" s="232" t="str">
        <f t="shared" si="59"/>
        <v/>
      </c>
      <c r="M175" s="207" t="str">
        <f t="shared" si="60"/>
        <v/>
      </c>
      <c r="N175" s="235" t="str">
        <f t="shared" si="61"/>
        <v/>
      </c>
      <c r="O175" s="240"/>
      <c r="P175" s="229">
        <f t="shared" ca="1" si="68"/>
        <v>2.3458177395633526E-2</v>
      </c>
      <c r="Q175" s="229">
        <f t="shared" ca="1" si="69"/>
        <v>1.6629848695658099E-4</v>
      </c>
      <c r="R175" s="229" t="str">
        <f t="shared" si="62"/>
        <v/>
      </c>
      <c r="S175" s="239"/>
      <c r="T175" s="229" t="str">
        <f t="shared" si="63"/>
        <v/>
      </c>
      <c r="U175" s="229" t="str">
        <f t="shared" si="64"/>
        <v/>
      </c>
      <c r="V175" s="229" t="str">
        <f t="shared" si="65"/>
        <v/>
      </c>
    </row>
    <row r="176" spans="1:22" ht="15" customHeight="1" x14ac:dyDescent="0.25">
      <c r="A176" s="205">
        <f t="shared" si="50"/>
        <v>2049</v>
      </c>
      <c r="B176" s="207">
        <f t="shared" ca="1" si="66"/>
        <v>0.99660620163687086</v>
      </c>
      <c r="C176" s="207" t="str">
        <f t="shared" si="51"/>
        <v/>
      </c>
      <c r="D176" s="207" t="str">
        <f t="shared" si="52"/>
        <v/>
      </c>
      <c r="E176" s="234" t="str">
        <f t="shared" si="53"/>
        <v/>
      </c>
      <c r="F176" s="206">
        <f t="shared" ca="1" si="67"/>
        <v>4.4318215920009618E-2</v>
      </c>
      <c r="G176" s="207" t="str">
        <f t="shared" si="54"/>
        <v/>
      </c>
      <c r="H176" s="207" t="str">
        <f t="shared" si="55"/>
        <v/>
      </c>
      <c r="I176" s="234" t="str">
        <f t="shared" si="56"/>
        <v/>
      </c>
      <c r="J176" s="601" t="str">
        <f t="shared" ca="1" si="57"/>
        <v/>
      </c>
      <c r="K176" s="232" t="str">
        <f t="shared" si="58"/>
        <v/>
      </c>
      <c r="L176" s="232" t="str">
        <f t="shared" si="59"/>
        <v/>
      </c>
      <c r="M176" s="207" t="str">
        <f t="shared" si="60"/>
        <v/>
      </c>
      <c r="N176" s="235" t="str">
        <f t="shared" si="61"/>
        <v/>
      </c>
      <c r="O176" s="240"/>
      <c r="P176" s="229">
        <f t="shared" ca="1" si="68"/>
        <v>2.3458177395633526E-2</v>
      </c>
      <c r="Q176" s="229">
        <f t="shared" ca="1" si="69"/>
        <v>1.6629848695658099E-4</v>
      </c>
      <c r="R176" s="229" t="str">
        <f t="shared" si="62"/>
        <v/>
      </c>
      <c r="S176" s="239"/>
      <c r="T176" s="229" t="str">
        <f t="shared" si="63"/>
        <v/>
      </c>
      <c r="U176" s="229" t="str">
        <f t="shared" si="64"/>
        <v/>
      </c>
      <c r="V176" s="229" t="str">
        <f t="shared" si="65"/>
        <v/>
      </c>
    </row>
    <row r="177" spans="1:22" ht="15" customHeight="1" x14ac:dyDescent="0.25">
      <c r="A177" s="205">
        <f t="shared" si="50"/>
        <v>2050</v>
      </c>
      <c r="B177" s="207">
        <f t="shared" ca="1" si="66"/>
        <v>1.0092245210544029</v>
      </c>
      <c r="C177" s="207" t="str">
        <f t="shared" si="51"/>
        <v/>
      </c>
      <c r="D177" s="207" t="str">
        <f t="shared" si="52"/>
        <v/>
      </c>
      <c r="E177" s="234" t="str">
        <f t="shared" si="53"/>
        <v/>
      </c>
      <c r="F177" s="206">
        <f t="shared" ca="1" si="67"/>
        <v>4.4455344709672134E-2</v>
      </c>
      <c r="G177" s="207" t="str">
        <f t="shared" si="54"/>
        <v/>
      </c>
      <c r="H177" s="207" t="str">
        <f t="shared" si="55"/>
        <v/>
      </c>
      <c r="I177" s="234" t="str">
        <f t="shared" si="56"/>
        <v/>
      </c>
      <c r="J177" s="601" t="str">
        <f t="shared" ca="1" si="57"/>
        <v/>
      </c>
      <c r="K177" s="232" t="str">
        <f t="shared" si="58"/>
        <v/>
      </c>
      <c r="L177" s="232" t="str">
        <f t="shared" si="59"/>
        <v/>
      </c>
      <c r="M177" s="207" t="str">
        <f t="shared" si="60"/>
        <v/>
      </c>
      <c r="N177" s="235" t="str">
        <f t="shared" si="61"/>
        <v/>
      </c>
      <c r="O177" s="240"/>
      <c r="P177" s="229">
        <f t="shared" ca="1" si="68"/>
        <v>2.3458177395633526E-2</v>
      </c>
      <c r="Q177" s="229">
        <f t="shared" ca="1" si="69"/>
        <v>1.6629848695658099E-4</v>
      </c>
      <c r="R177" s="229" t="str">
        <f t="shared" si="62"/>
        <v/>
      </c>
      <c r="S177" s="239"/>
      <c r="T177" s="229" t="str">
        <f t="shared" si="63"/>
        <v/>
      </c>
      <c r="U177" s="229" t="str">
        <f t="shared" si="64"/>
        <v/>
      </c>
      <c r="V177" s="229" t="str">
        <f t="shared" si="65"/>
        <v/>
      </c>
    </row>
    <row r="178" spans="1:22" ht="15" customHeight="1" x14ac:dyDescent="0.25">
      <c r="A178" s="205">
        <f t="shared" si="50"/>
        <v>2051</v>
      </c>
      <c r="B178" s="207">
        <f t="shared" ca="1" si="66"/>
        <v>1.0148351446549919</v>
      </c>
      <c r="C178" s="207" t="str">
        <f t="shared" si="51"/>
        <v/>
      </c>
      <c r="D178" s="207" t="str">
        <f t="shared" si="52"/>
        <v/>
      </c>
      <c r="E178" s="234" t="str">
        <f t="shared" si="53"/>
        <v/>
      </c>
      <c r="F178" s="206">
        <f t="shared" ca="1" si="67"/>
        <v>4.4495663724835599E-2</v>
      </c>
      <c r="G178" s="207" t="str">
        <f t="shared" si="54"/>
        <v/>
      </c>
      <c r="H178" s="207" t="str">
        <f t="shared" si="55"/>
        <v/>
      </c>
      <c r="I178" s="234" t="str">
        <f t="shared" si="56"/>
        <v/>
      </c>
      <c r="J178" s="601" t="str">
        <f t="shared" ca="1" si="57"/>
        <v/>
      </c>
      <c r="K178" s="232" t="str">
        <f t="shared" si="58"/>
        <v/>
      </c>
      <c r="L178" s="232" t="str">
        <f t="shared" si="59"/>
        <v/>
      </c>
      <c r="M178" s="207" t="str">
        <f t="shared" si="60"/>
        <v/>
      </c>
      <c r="N178" s="235" t="str">
        <f t="shared" si="61"/>
        <v/>
      </c>
      <c r="O178" s="240"/>
      <c r="P178" s="229">
        <f t="shared" ca="1" si="68"/>
        <v>2.3458177395633526E-2</v>
      </c>
      <c r="Q178" s="229">
        <f t="shared" ca="1" si="69"/>
        <v>1.6629848695658099E-4</v>
      </c>
      <c r="R178" s="229" t="str">
        <f t="shared" si="62"/>
        <v/>
      </c>
      <c r="S178" s="239"/>
      <c r="T178" s="229" t="str">
        <f t="shared" si="63"/>
        <v/>
      </c>
      <c r="U178" s="229" t="str">
        <f t="shared" si="64"/>
        <v/>
      </c>
      <c r="V178" s="229" t="str">
        <f t="shared" si="65"/>
        <v/>
      </c>
    </row>
    <row r="179" spans="1:22" ht="15" customHeight="1" x14ac:dyDescent="0.25">
      <c r="A179" s="205">
        <f t="shared" si="50"/>
        <v>2052</v>
      </c>
      <c r="B179" s="207">
        <f t="shared" ca="1" si="66"/>
        <v>1.0204769596273033</v>
      </c>
      <c r="C179" s="207" t="str">
        <f t="shared" si="51"/>
        <v/>
      </c>
      <c r="D179" s="207" t="str">
        <f t="shared" si="52"/>
        <v/>
      </c>
      <c r="E179" s="234" t="str">
        <f t="shared" si="53"/>
        <v/>
      </c>
      <c r="F179" s="206">
        <f t="shared" ca="1" si="67"/>
        <v>4.4536019307547789E-2</v>
      </c>
      <c r="G179" s="207" t="str">
        <f t="shared" si="54"/>
        <v/>
      </c>
      <c r="H179" s="207" t="str">
        <f t="shared" si="55"/>
        <v/>
      </c>
      <c r="I179" s="234" t="str">
        <f t="shared" si="56"/>
        <v/>
      </c>
      <c r="J179" s="601" t="str">
        <f t="shared" ca="1" si="57"/>
        <v/>
      </c>
      <c r="K179" s="232" t="str">
        <f t="shared" si="58"/>
        <v/>
      </c>
      <c r="L179" s="232" t="str">
        <f t="shared" si="59"/>
        <v/>
      </c>
      <c r="M179" s="207" t="str">
        <f t="shared" si="60"/>
        <v/>
      </c>
      <c r="N179" s="235" t="str">
        <f t="shared" si="61"/>
        <v/>
      </c>
      <c r="O179" s="240"/>
      <c r="P179" s="229">
        <f t="shared" ca="1" si="68"/>
        <v>2.3458177395633526E-2</v>
      </c>
      <c r="Q179" s="229">
        <f t="shared" ca="1" si="69"/>
        <v>1.6629848695658099E-4</v>
      </c>
      <c r="R179" s="229" t="str">
        <f t="shared" si="62"/>
        <v/>
      </c>
      <c r="S179" s="239"/>
      <c r="T179" s="229" t="str">
        <f t="shared" si="63"/>
        <v/>
      </c>
      <c r="U179" s="229" t="str">
        <f t="shared" si="64"/>
        <v/>
      </c>
      <c r="V179" s="229" t="str">
        <f t="shared" si="65"/>
        <v/>
      </c>
    </row>
    <row r="180" spans="1:22" ht="15" customHeight="1" x14ac:dyDescent="0.25">
      <c r="A180" s="205">
        <f t="shared" si="50"/>
        <v>2053</v>
      </c>
      <c r="B180" s="207">
        <f t="shared" ca="1" si="66"/>
        <v>1.0261501393748191</v>
      </c>
      <c r="C180" s="207" t="str">
        <f t="shared" si="51"/>
        <v/>
      </c>
      <c r="D180" s="207" t="str">
        <f t="shared" si="52"/>
        <v/>
      </c>
      <c r="E180" s="234" t="str">
        <f t="shared" si="53"/>
        <v/>
      </c>
      <c r="F180" s="206">
        <f t="shared" ca="1" si="67"/>
        <v>4.4576411490973841E-2</v>
      </c>
      <c r="G180" s="207" t="str">
        <f t="shared" si="54"/>
        <v/>
      </c>
      <c r="H180" s="207" t="str">
        <f t="shared" si="55"/>
        <v/>
      </c>
      <c r="I180" s="234" t="str">
        <f t="shared" si="56"/>
        <v/>
      </c>
      <c r="J180" s="601" t="str">
        <f t="shared" ca="1" si="57"/>
        <v/>
      </c>
      <c r="K180" s="232" t="str">
        <f t="shared" si="58"/>
        <v/>
      </c>
      <c r="L180" s="232" t="str">
        <f t="shared" si="59"/>
        <v/>
      </c>
      <c r="M180" s="207" t="str">
        <f t="shared" si="60"/>
        <v/>
      </c>
      <c r="N180" s="235" t="str">
        <f t="shared" si="61"/>
        <v/>
      </c>
      <c r="O180" s="240"/>
      <c r="P180" s="229">
        <f t="shared" ca="1" si="68"/>
        <v>2.3458177395633526E-2</v>
      </c>
      <c r="Q180" s="229">
        <f t="shared" ca="1" si="69"/>
        <v>1.6629848695658099E-4</v>
      </c>
      <c r="R180" s="229" t="str">
        <f t="shared" si="62"/>
        <v/>
      </c>
      <c r="S180" s="239"/>
      <c r="T180" s="229" t="str">
        <f t="shared" si="63"/>
        <v/>
      </c>
      <c r="U180" s="229" t="str">
        <f t="shared" si="64"/>
        <v/>
      </c>
      <c r="V180" s="229" t="str">
        <f t="shared" si="65"/>
        <v/>
      </c>
    </row>
    <row r="181" spans="1:22" ht="15" customHeight="1" x14ac:dyDescent="0.25">
      <c r="A181" s="205">
        <f t="shared" si="50"/>
        <v>2054</v>
      </c>
      <c r="B181" s="207">
        <f t="shared" ca="1" si="66"/>
        <v>1.0318548582650311</v>
      </c>
      <c r="C181" s="207" t="str">
        <f t="shared" si="51"/>
        <v/>
      </c>
      <c r="D181" s="207" t="str">
        <f t="shared" si="52"/>
        <v/>
      </c>
      <c r="E181" s="234" t="str">
        <f t="shared" si="53"/>
        <v/>
      </c>
      <c r="F181" s="206">
        <f t="shared" ca="1" si="67"/>
        <v>4.4616840308308973E-2</v>
      </c>
      <c r="G181" s="207" t="str">
        <f t="shared" si="54"/>
        <v/>
      </c>
      <c r="H181" s="207" t="str">
        <f t="shared" si="55"/>
        <v/>
      </c>
      <c r="I181" s="234" t="str">
        <f t="shared" si="56"/>
        <v/>
      </c>
      <c r="J181" s="601" t="str">
        <f t="shared" ca="1" si="57"/>
        <v/>
      </c>
      <c r="K181" s="232" t="str">
        <f t="shared" si="58"/>
        <v/>
      </c>
      <c r="L181" s="232" t="str">
        <f t="shared" si="59"/>
        <v/>
      </c>
      <c r="M181" s="207" t="str">
        <f t="shared" si="60"/>
        <v/>
      </c>
      <c r="N181" s="235" t="str">
        <f t="shared" si="61"/>
        <v/>
      </c>
      <c r="O181" s="240"/>
      <c r="P181" s="229">
        <f t="shared" ca="1" si="68"/>
        <v>2.3458177395633526E-2</v>
      </c>
      <c r="Q181" s="229">
        <f t="shared" ca="1" si="69"/>
        <v>1.6629848695658099E-4</v>
      </c>
      <c r="R181" s="229" t="str">
        <f t="shared" si="62"/>
        <v/>
      </c>
      <c r="S181" s="239"/>
      <c r="T181" s="229" t="str">
        <f t="shared" si="63"/>
        <v/>
      </c>
      <c r="U181" s="229" t="str">
        <f t="shared" si="64"/>
        <v/>
      </c>
      <c r="V181" s="229" t="str">
        <f t="shared" si="65"/>
        <v/>
      </c>
    </row>
    <row r="182" spans="1:22" ht="15" customHeight="1" thickBot="1" x14ac:dyDescent="0.3">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1"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 thickBot="1" x14ac:dyDescent="0.3">
      <c r="A184" s="1082" t="s">
        <v>1188</v>
      </c>
    </row>
    <row r="185" spans="1:22" ht="26.5" thickTop="1" x14ac:dyDescent="0.3">
      <c r="A185" s="204" t="s">
        <v>1034</v>
      </c>
      <c r="B185" s="237" t="str">
        <f>IF(B$131="","",B$131&amp;" ($/year)")</f>
        <v>Industrial Natural Gas ($/year)</v>
      </c>
      <c r="C185" s="237" t="str">
        <f t="shared" ref="C185:N185" si="70">IF(C$131="","",C$131&amp;" ($/year)")</f>
        <v/>
      </c>
      <c r="D185" s="237" t="str">
        <f t="shared" si="70"/>
        <v/>
      </c>
      <c r="E185" s="237" t="str">
        <f t="shared" si="70"/>
        <v/>
      </c>
      <c r="F185" s="237" t="str">
        <f t="shared" si="70"/>
        <v>Industrial Electricity ($/year)</v>
      </c>
      <c r="G185" s="237" t="str">
        <f t="shared" si="70"/>
        <v/>
      </c>
      <c r="H185" s="237" t="str">
        <f t="shared" si="70"/>
        <v/>
      </c>
      <c r="I185" s="596" t="str">
        <f t="shared" si="70"/>
        <v/>
      </c>
      <c r="J185" s="237" t="str">
        <f t="shared" ca="1" si="70"/>
        <v/>
      </c>
      <c r="K185" s="237" t="str">
        <f t="shared" si="70"/>
        <v/>
      </c>
      <c r="L185" s="237" t="str">
        <f t="shared" si="70"/>
        <v/>
      </c>
      <c r="M185" s="237" t="str">
        <f t="shared" si="70"/>
        <v/>
      </c>
      <c r="N185" s="237" t="str">
        <f t="shared" si="70"/>
        <v/>
      </c>
    </row>
    <row r="186" spans="1:22" x14ac:dyDescent="0.25">
      <c r="A186" s="205">
        <f>+A139</f>
        <v>2012</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1">
        <f t="shared" si="71"/>
        <v>0</v>
      </c>
      <c r="K186" s="232">
        <f t="shared" si="71"/>
        <v>0</v>
      </c>
      <c r="L186" s="232">
        <f t="shared" si="71"/>
        <v>0</v>
      </c>
      <c r="M186" s="207">
        <f t="shared" si="71"/>
        <v>0</v>
      </c>
      <c r="N186" s="235">
        <f t="shared" si="71"/>
        <v>0</v>
      </c>
    </row>
    <row r="187" spans="1:22" x14ac:dyDescent="0.25">
      <c r="A187" s="205">
        <f t="shared" ref="A187:A229" si="72">+A140</f>
        <v>2013</v>
      </c>
      <c r="B187" s="207">
        <f t="shared" ref="B187:N187" si="73">IF($C66="","",IF($C66&lt;0,0,IF(AND($C66=1,start_time&lt;1),-(SUM(B140)*output_kgyear*$E66*percnt_var*start_time+SUM(B140)*output_kgyear*$E66*(1-start_time)),IF($C66&lt;=start_time,-SUM(B140)*output_kgyear*$E66*percnt_var,-SUM(B140)*output_kgyear*$E66))))</f>
        <v>0</v>
      </c>
      <c r="C187" s="207">
        <f t="shared" si="73"/>
        <v>0</v>
      </c>
      <c r="D187" s="207">
        <f t="shared" si="73"/>
        <v>0</v>
      </c>
      <c r="E187" s="234">
        <f t="shared" si="73"/>
        <v>0</v>
      </c>
      <c r="F187" s="206">
        <f t="shared" si="73"/>
        <v>0</v>
      </c>
      <c r="G187" s="207">
        <f t="shared" si="73"/>
        <v>0</v>
      </c>
      <c r="H187" s="207">
        <f t="shared" si="73"/>
        <v>0</v>
      </c>
      <c r="I187" s="234">
        <f t="shared" si="73"/>
        <v>0</v>
      </c>
      <c r="J187" s="601">
        <f t="shared" si="73"/>
        <v>0</v>
      </c>
      <c r="K187" s="232">
        <f t="shared" si="73"/>
        <v>0</v>
      </c>
      <c r="L187" s="232">
        <f t="shared" si="73"/>
        <v>0</v>
      </c>
      <c r="M187" s="207">
        <f t="shared" si="73"/>
        <v>0</v>
      </c>
      <c r="N187" s="235">
        <f t="shared" si="73"/>
        <v>0</v>
      </c>
    </row>
    <row r="188" spans="1:22" x14ac:dyDescent="0.25">
      <c r="A188" s="205">
        <f t="shared" si="72"/>
        <v>2014</v>
      </c>
      <c r="B188" s="207">
        <f t="shared" ref="B188:N188" si="74">IF($C67="","",IF($C67&lt;0,0,IF(AND($C67=1,start_time&lt;1),-(SUM(B141)*output_kgyear*$E67*percnt_var*start_time+SUM(B141)*output_kgyear*$E67*(1-start_time)),IF($C67&lt;=start_time,-SUM(B141)*output_kgyear*$E67*percnt_var,-SUM(B141)*output_kgyear*$E67))))</f>
        <v>0</v>
      </c>
      <c r="C188" s="207">
        <f t="shared" si="74"/>
        <v>0</v>
      </c>
      <c r="D188" s="207">
        <f t="shared" si="74"/>
        <v>0</v>
      </c>
      <c r="E188" s="234">
        <f t="shared" si="74"/>
        <v>0</v>
      </c>
      <c r="F188" s="206">
        <f t="shared" si="74"/>
        <v>0</v>
      </c>
      <c r="G188" s="207">
        <f t="shared" si="74"/>
        <v>0</v>
      </c>
      <c r="H188" s="207">
        <f t="shared" si="74"/>
        <v>0</v>
      </c>
      <c r="I188" s="234">
        <f t="shared" si="74"/>
        <v>0</v>
      </c>
      <c r="J188" s="601">
        <f t="shared" si="74"/>
        <v>0</v>
      </c>
      <c r="K188" s="232">
        <f t="shared" si="74"/>
        <v>0</v>
      </c>
      <c r="L188" s="232">
        <f t="shared" si="74"/>
        <v>0</v>
      </c>
      <c r="M188" s="207">
        <f t="shared" si="74"/>
        <v>0</v>
      </c>
      <c r="N188" s="235">
        <f t="shared" si="74"/>
        <v>0</v>
      </c>
    </row>
    <row r="189" spans="1:22" x14ac:dyDescent="0.25">
      <c r="A189" s="205">
        <f t="shared" si="72"/>
        <v>2015</v>
      </c>
      <c r="B189" s="207">
        <f t="shared" ref="B189:N189" ca="1" si="75">IF($C68="","",IF($C68&lt;0,0,IF(AND($C68=1,start_time&lt;1),-(SUM(B142)*output_kgyear*$E68*percnt_var*start_time+SUM(B142)*output_kgyear*$E68*(1-start_time)),IF($C68&lt;=start_time,-SUM(B142)*output_kgyear*$E68*percnt_var,-SUM(B142)*output_kgyear*$E68))))</f>
        <v>-53513260.75497327</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-3652539.2927005272</v>
      </c>
      <c r="G189" s="207">
        <f t="shared" ca="1" si="75"/>
        <v>0</v>
      </c>
      <c r="H189" s="207">
        <f t="shared" ca="1" si="75"/>
        <v>0</v>
      </c>
      <c r="I189" s="234">
        <f t="shared" ca="1" si="75"/>
        <v>0</v>
      </c>
      <c r="J189" s="601">
        <f t="shared" ca="1" si="75"/>
        <v>0</v>
      </c>
      <c r="K189" s="232">
        <f t="shared" ca="1" si="75"/>
        <v>0</v>
      </c>
      <c r="L189" s="232">
        <f t="shared" ca="1" si="75"/>
        <v>0</v>
      </c>
      <c r="M189" s="207">
        <f t="shared" ca="1" si="75"/>
        <v>0</v>
      </c>
      <c r="N189" s="235">
        <f t="shared" ca="1" si="75"/>
        <v>0</v>
      </c>
    </row>
    <row r="190" spans="1:22" x14ac:dyDescent="0.25">
      <c r="A190" s="205">
        <f t="shared" si="72"/>
        <v>2016</v>
      </c>
      <c r="B190" s="207">
        <f t="shared" ref="B190:N190" ca="1" si="76">IF($C69="","",IF($C69&lt;0,0,IF(AND($C69=1,start_time&lt;1),-(SUM(B143)*output_kgyear*$E69*percnt_var*start_time+SUM(B143)*output_kgyear*$E69*(1-start_time)),IF($C69&lt;=start_time,-SUM(B143)*output_kgyear*$E69*percnt_var,-SUM(B143)*output_kgyear*$E69))))</f>
        <v>-68141993.415647298</v>
      </c>
      <c r="C190" s="207">
        <f t="shared" ca="1" si="76"/>
        <v>0</v>
      </c>
      <c r="D190" s="207">
        <f t="shared" ca="1" si="76"/>
        <v>0</v>
      </c>
      <c r="E190" s="234">
        <f t="shared" ca="1" si="76"/>
        <v>0</v>
      </c>
      <c r="F190" s="206">
        <f t="shared" ca="1" si="76"/>
        <v>-4793764.11428547</v>
      </c>
      <c r="G190" s="207">
        <f t="shared" ca="1" si="76"/>
        <v>0</v>
      </c>
      <c r="H190" s="207">
        <f t="shared" ca="1" si="76"/>
        <v>0</v>
      </c>
      <c r="I190" s="234">
        <f t="shared" ca="1" si="76"/>
        <v>0</v>
      </c>
      <c r="J190" s="601">
        <f t="shared" ca="1" si="76"/>
        <v>0</v>
      </c>
      <c r="K190" s="232">
        <f t="shared" ca="1" si="76"/>
        <v>0</v>
      </c>
      <c r="L190" s="232">
        <f t="shared" ca="1" si="76"/>
        <v>0</v>
      </c>
      <c r="M190" s="207">
        <f t="shared" ca="1" si="76"/>
        <v>0</v>
      </c>
      <c r="N190" s="235">
        <f t="shared" ca="1" si="76"/>
        <v>0</v>
      </c>
    </row>
    <row r="191" spans="1:22" x14ac:dyDescent="0.25">
      <c r="A191" s="205">
        <f t="shared" si="72"/>
        <v>2017</v>
      </c>
      <c r="B191" s="207">
        <f t="shared" ref="B191:N191" ca="1" si="77">IF($C70="","",IF($C70&lt;0,0,IF(AND($C70=1,start_time&lt;1),-(SUM(B144)*output_kgyear*$E70*percnt_var*start_time+SUM(B144)*output_kgyear*$E70*(1-start_time)),IF($C70&lt;=start_time,-SUM(B144)*output_kgyear*$E70*percnt_var,-SUM(B144)*output_kgyear*$E70))))</f>
        <v>-80988757.955831766</v>
      </c>
      <c r="C191" s="207">
        <f t="shared" ca="1" si="77"/>
        <v>0</v>
      </c>
      <c r="D191" s="207">
        <f t="shared" ca="1" si="77"/>
        <v>0</v>
      </c>
      <c r="E191" s="234">
        <f t="shared" ca="1" si="77"/>
        <v>0</v>
      </c>
      <c r="F191" s="206">
        <f t="shared" ca="1" si="77"/>
        <v>-5082479.3454535222</v>
      </c>
      <c r="G191" s="207">
        <f t="shared" ca="1" si="77"/>
        <v>0</v>
      </c>
      <c r="H191" s="207">
        <f t="shared" ca="1" si="77"/>
        <v>0</v>
      </c>
      <c r="I191" s="234">
        <f t="shared" ca="1" si="77"/>
        <v>0</v>
      </c>
      <c r="J191" s="601">
        <f t="shared" ca="1" si="77"/>
        <v>0</v>
      </c>
      <c r="K191" s="232">
        <f t="shared" ca="1" si="77"/>
        <v>0</v>
      </c>
      <c r="L191" s="232">
        <f t="shared" ca="1" si="77"/>
        <v>0</v>
      </c>
      <c r="M191" s="207">
        <f t="shared" ca="1" si="77"/>
        <v>0</v>
      </c>
      <c r="N191" s="235">
        <f t="shared" ca="1" si="77"/>
        <v>0</v>
      </c>
    </row>
    <row r="192" spans="1:22" x14ac:dyDescent="0.25">
      <c r="A192" s="205">
        <f t="shared" si="72"/>
        <v>2018</v>
      </c>
      <c r="B192" s="207">
        <f t="shared" ref="B192:N192" ca="1" si="78">IF($C71="","",IF($C71&lt;0,0,IF(AND($C71=1,start_time&lt;1),-(SUM(B145)*output_kgyear*$E71*percnt_var*start_time+SUM(B145)*output_kgyear*$E71*(1-start_time)),IF($C71&lt;=start_time,-SUM(B145)*output_kgyear*$E71*percnt_var,-SUM(B145)*output_kgyear*$E71))))</f>
        <v>-90244895.371385947</v>
      </c>
      <c r="C192" s="207">
        <f t="shared" ca="1" si="78"/>
        <v>0</v>
      </c>
      <c r="D192" s="207">
        <f t="shared" ca="1" si="78"/>
        <v>0</v>
      </c>
      <c r="E192" s="234">
        <f t="shared" ca="1" si="78"/>
        <v>0</v>
      </c>
      <c r="F192" s="206">
        <f t="shared" ca="1" si="78"/>
        <v>-5061666.642648207</v>
      </c>
      <c r="G192" s="207">
        <f t="shared" ca="1" si="78"/>
        <v>0</v>
      </c>
      <c r="H192" s="207">
        <f t="shared" ca="1" si="78"/>
        <v>0</v>
      </c>
      <c r="I192" s="234">
        <f t="shared" ca="1" si="78"/>
        <v>0</v>
      </c>
      <c r="J192" s="601">
        <f t="shared" ca="1" si="78"/>
        <v>0</v>
      </c>
      <c r="K192" s="232">
        <f t="shared" ca="1" si="78"/>
        <v>0</v>
      </c>
      <c r="L192" s="232">
        <f t="shared" ca="1" si="78"/>
        <v>0</v>
      </c>
      <c r="M192" s="207">
        <f t="shared" ca="1" si="78"/>
        <v>0</v>
      </c>
      <c r="N192" s="235">
        <f t="shared" ca="1" si="78"/>
        <v>0</v>
      </c>
    </row>
    <row r="193" spans="1:14" x14ac:dyDescent="0.25">
      <c r="A193" s="205">
        <f t="shared" si="72"/>
        <v>2019</v>
      </c>
      <c r="B193" s="207">
        <f t="shared" ref="B193:N193" ca="1" si="79">IF($C72="","",IF($C72&lt;0,0,IF(AND($C72=1,start_time&lt;1),-(SUM(B146)*output_kgyear*$E72*percnt_var*start_time+SUM(B146)*output_kgyear*$E72*(1-start_time)),IF($C72&lt;=start_time,-SUM(B146)*output_kgyear*$E72*percnt_var,-SUM(B146)*output_kgyear*$E72))))</f>
        <v>-100808203.24826321</v>
      </c>
      <c r="C193" s="207">
        <f t="shared" ca="1" si="79"/>
        <v>0</v>
      </c>
      <c r="D193" s="207">
        <f t="shared" ca="1" si="79"/>
        <v>0</v>
      </c>
      <c r="E193" s="234">
        <f t="shared" ca="1" si="79"/>
        <v>0</v>
      </c>
      <c r="F193" s="206">
        <f t="shared" ca="1" si="79"/>
        <v>-5224339.3577222386</v>
      </c>
      <c r="G193" s="207">
        <f t="shared" ca="1" si="79"/>
        <v>0</v>
      </c>
      <c r="H193" s="207">
        <f t="shared" ca="1" si="79"/>
        <v>0</v>
      </c>
      <c r="I193" s="234">
        <f t="shared" ca="1" si="79"/>
        <v>0</v>
      </c>
      <c r="J193" s="601">
        <f t="shared" ca="1" si="79"/>
        <v>0</v>
      </c>
      <c r="K193" s="232">
        <f t="shared" ca="1" si="79"/>
        <v>0</v>
      </c>
      <c r="L193" s="232">
        <f t="shared" ca="1" si="79"/>
        <v>0</v>
      </c>
      <c r="M193" s="207">
        <f t="shared" ca="1" si="79"/>
        <v>0</v>
      </c>
      <c r="N193" s="235">
        <f t="shared" ca="1" si="79"/>
        <v>0</v>
      </c>
    </row>
    <row r="194" spans="1:14" x14ac:dyDescent="0.25">
      <c r="A194" s="205">
        <f t="shared" si="72"/>
        <v>2020</v>
      </c>
      <c r="B194" s="207">
        <f t="shared" ref="B194:N194" ca="1" si="80">IF($C73="","",IF($C73&lt;0,0,IF(AND($C73=1,start_time&lt;1),-(SUM(B147)*output_kgyear*$E73*percnt_var*start_time+SUM(B147)*output_kgyear*$E73*(1-start_time)),IF($C73&lt;=start_time,-SUM(B147)*output_kgyear*$E73*percnt_var,-SUM(B147)*output_kgyear*$E73))))</f>
        <v>-111636708.1351441</v>
      </c>
      <c r="C194" s="207">
        <f t="shared" ca="1" si="80"/>
        <v>0</v>
      </c>
      <c r="D194" s="207">
        <f t="shared" ca="1" si="80"/>
        <v>0</v>
      </c>
      <c r="E194" s="234">
        <f t="shared" ca="1" si="80"/>
        <v>0</v>
      </c>
      <c r="F194" s="206">
        <f t="shared" ca="1" si="80"/>
        <v>-5422649.9550900077</v>
      </c>
      <c r="G194" s="207">
        <f t="shared" ca="1" si="80"/>
        <v>0</v>
      </c>
      <c r="H194" s="207">
        <f t="shared" ca="1" si="80"/>
        <v>0</v>
      </c>
      <c r="I194" s="234">
        <f t="shared" ca="1" si="80"/>
        <v>0</v>
      </c>
      <c r="J194" s="601">
        <f t="shared" ca="1" si="80"/>
        <v>0</v>
      </c>
      <c r="K194" s="232">
        <f t="shared" ca="1" si="80"/>
        <v>0</v>
      </c>
      <c r="L194" s="232">
        <f t="shared" ca="1" si="80"/>
        <v>0</v>
      </c>
      <c r="M194" s="207">
        <f t="shared" ca="1" si="80"/>
        <v>0</v>
      </c>
      <c r="N194" s="235">
        <f t="shared" ca="1" si="80"/>
        <v>0</v>
      </c>
    </row>
    <row r="195" spans="1:14" x14ac:dyDescent="0.25">
      <c r="A195" s="205">
        <f t="shared" si="72"/>
        <v>2021</v>
      </c>
      <c r="B195" s="207">
        <f t="shared" ref="B195:N195" ca="1" si="81">IF($C74="","",IF($C74&lt;0,0,IF(AND($C74=1,start_time&lt;1),-(SUM(B148)*output_kgyear*$E74*percnt_var*start_time+SUM(B148)*output_kgyear*$E74*(1-start_time)),IF($C74&lt;=start_time,-SUM(B148)*output_kgyear*$E74*percnt_var,-SUM(B148)*output_kgyear*$E74))))</f>
        <v>-113878444.61174414</v>
      </c>
      <c r="C195" s="207">
        <f t="shared" ca="1" si="81"/>
        <v>0</v>
      </c>
      <c r="D195" s="207">
        <f t="shared" ca="1" si="81"/>
        <v>0</v>
      </c>
      <c r="E195" s="234">
        <f t="shared" ca="1" si="81"/>
        <v>0</v>
      </c>
      <c r="F195" s="206">
        <f t="shared" ca="1" si="81"/>
        <v>-5556113.9388339715</v>
      </c>
      <c r="G195" s="207">
        <f t="shared" ca="1" si="81"/>
        <v>0</v>
      </c>
      <c r="H195" s="207">
        <f t="shared" ca="1" si="81"/>
        <v>0</v>
      </c>
      <c r="I195" s="234">
        <f t="shared" ca="1" si="81"/>
        <v>0</v>
      </c>
      <c r="J195" s="601">
        <f t="shared" ca="1" si="81"/>
        <v>0</v>
      </c>
      <c r="K195" s="232">
        <f t="shared" ca="1" si="81"/>
        <v>0</v>
      </c>
      <c r="L195" s="232">
        <f t="shared" ca="1" si="81"/>
        <v>0</v>
      </c>
      <c r="M195" s="207">
        <f t="shared" ca="1" si="81"/>
        <v>0</v>
      </c>
      <c r="N195" s="235">
        <f t="shared" ca="1" si="81"/>
        <v>0</v>
      </c>
    </row>
    <row r="196" spans="1:14" x14ac:dyDescent="0.25">
      <c r="A196" s="205">
        <f t="shared" si="72"/>
        <v>2022</v>
      </c>
      <c r="B196" s="207">
        <f t="shared" ref="B196:N196" ca="1" si="82">IF($C75="","",IF($C75&lt;0,0,IF(AND($C75=1,start_time&lt;1),-(SUM(B149)*output_kgyear*$E75*percnt_var*start_time+SUM(B149)*output_kgyear*$E75*(1-start_time)),IF($C75&lt;=start_time,-SUM(B149)*output_kgyear*$E75*percnt_var,-SUM(B149)*output_kgyear*$E75))))</f>
        <v>-114759304.00540955</v>
      </c>
      <c r="C196" s="207">
        <f t="shared" ca="1" si="82"/>
        <v>0</v>
      </c>
      <c r="D196" s="207">
        <f t="shared" ca="1" si="82"/>
        <v>0</v>
      </c>
      <c r="E196" s="234">
        <f t="shared" ca="1" si="82"/>
        <v>0</v>
      </c>
      <c r="F196" s="206">
        <f t="shared" ca="1" si="82"/>
        <v>-5844426.1003657123</v>
      </c>
      <c r="G196" s="207">
        <f t="shared" ca="1" si="82"/>
        <v>0</v>
      </c>
      <c r="H196" s="207">
        <f t="shared" ca="1" si="82"/>
        <v>0</v>
      </c>
      <c r="I196" s="234">
        <f t="shared" ca="1" si="82"/>
        <v>0</v>
      </c>
      <c r="J196" s="601">
        <f t="shared" ca="1" si="82"/>
        <v>0</v>
      </c>
      <c r="K196" s="232">
        <f t="shared" ca="1" si="82"/>
        <v>0</v>
      </c>
      <c r="L196" s="232">
        <f t="shared" ca="1" si="82"/>
        <v>0</v>
      </c>
      <c r="M196" s="207">
        <f t="shared" ca="1" si="82"/>
        <v>0</v>
      </c>
      <c r="N196" s="235">
        <f t="shared" ca="1" si="82"/>
        <v>0</v>
      </c>
    </row>
    <row r="197" spans="1:14" x14ac:dyDescent="0.25">
      <c r="A197" s="205">
        <f t="shared" si="72"/>
        <v>2023</v>
      </c>
      <c r="B197" s="207">
        <f t="shared" ref="B197:N197" ca="1" si="83">IF($C76="","",IF($C76&lt;0,0,IF(AND($C76=1,start_time&lt;1),-(SUM(B150)*output_kgyear*$E76*percnt_var*start_time+SUM(B150)*output_kgyear*$E76*(1-start_time)),IF($C76&lt;=start_time,-SUM(B150)*output_kgyear*$E76*percnt_var,-SUM(B150)*output_kgyear*$E76))))</f>
        <v>-117207569.49005002</v>
      </c>
      <c r="C197" s="207">
        <f t="shared" ca="1" si="83"/>
        <v>0</v>
      </c>
      <c r="D197" s="207">
        <f t="shared" ca="1" si="83"/>
        <v>0</v>
      </c>
      <c r="E197" s="234">
        <f t="shared" ca="1" si="83"/>
        <v>0</v>
      </c>
      <c r="F197" s="206">
        <f t="shared" ca="1" si="83"/>
        <v>-5974345.4481947822</v>
      </c>
      <c r="G197" s="207">
        <f t="shared" ca="1" si="83"/>
        <v>0</v>
      </c>
      <c r="H197" s="207">
        <f t="shared" ca="1" si="83"/>
        <v>0</v>
      </c>
      <c r="I197" s="234">
        <f t="shared" ca="1" si="83"/>
        <v>0</v>
      </c>
      <c r="J197" s="601">
        <f t="shared" ca="1" si="83"/>
        <v>0</v>
      </c>
      <c r="K197" s="232">
        <f t="shared" ca="1" si="83"/>
        <v>0</v>
      </c>
      <c r="L197" s="232">
        <f t="shared" ca="1" si="83"/>
        <v>0</v>
      </c>
      <c r="M197" s="207">
        <f t="shared" ca="1" si="83"/>
        <v>0</v>
      </c>
      <c r="N197" s="235">
        <f t="shared" ca="1" si="83"/>
        <v>0</v>
      </c>
    </row>
    <row r="198" spans="1:14" x14ac:dyDescent="0.25">
      <c r="A198" s="205">
        <f t="shared" si="72"/>
        <v>2024</v>
      </c>
      <c r="B198" s="207">
        <f t="shared" ref="B198:N198" ca="1" si="84">IF($C77="","",IF($C77&lt;0,0,IF(AND($C77=1,start_time&lt;1),-(SUM(B151)*output_kgyear*$E77*percnt_var*start_time+SUM(B151)*output_kgyear*$E77*(1-start_time)),IF($C77&lt;=start_time,-SUM(B151)*output_kgyear*$E77*percnt_var,-SUM(B151)*output_kgyear*$E77))))</f>
        <v>-121482862.78186381</v>
      </c>
      <c r="C198" s="207">
        <f t="shared" ca="1" si="84"/>
        <v>0</v>
      </c>
      <c r="D198" s="207">
        <f t="shared" ca="1" si="84"/>
        <v>0</v>
      </c>
      <c r="E198" s="234">
        <f t="shared" ca="1" si="84"/>
        <v>0</v>
      </c>
      <c r="F198" s="206">
        <f t="shared" ca="1" si="84"/>
        <v>-6071809.4304854553</v>
      </c>
      <c r="G198" s="207">
        <f t="shared" ca="1" si="84"/>
        <v>0</v>
      </c>
      <c r="H198" s="207">
        <f t="shared" ca="1" si="84"/>
        <v>0</v>
      </c>
      <c r="I198" s="234">
        <f t="shared" ca="1" si="84"/>
        <v>0</v>
      </c>
      <c r="J198" s="601">
        <f t="shared" ca="1" si="84"/>
        <v>0</v>
      </c>
      <c r="K198" s="232">
        <f t="shared" ca="1" si="84"/>
        <v>0</v>
      </c>
      <c r="L198" s="232">
        <f t="shared" ca="1" si="84"/>
        <v>0</v>
      </c>
      <c r="M198" s="207">
        <f t="shared" ca="1" si="84"/>
        <v>0</v>
      </c>
      <c r="N198" s="235">
        <f t="shared" ca="1" si="84"/>
        <v>0</v>
      </c>
    </row>
    <row r="199" spans="1:14" x14ac:dyDescent="0.25">
      <c r="A199" s="205">
        <f t="shared" si="72"/>
        <v>2025</v>
      </c>
      <c r="B199" s="207">
        <f t="shared" ref="B199:N199" ca="1" si="85">IF($C78="","",IF($C78&lt;0,0,IF(AND($C78=1,start_time&lt;1),-(SUM(B152)*output_kgyear*$E78*percnt_var*start_time+SUM(B152)*output_kgyear*$E78*(1-start_time)),IF($C78&lt;=start_time,-SUM(B152)*output_kgyear*$E78*percnt_var,-SUM(B152)*output_kgyear*$E78))))</f>
        <v>-126514572.71743251</v>
      </c>
      <c r="C199" s="207">
        <f t="shared" ca="1" si="85"/>
        <v>0</v>
      </c>
      <c r="D199" s="207">
        <f t="shared" ca="1" si="85"/>
        <v>0</v>
      </c>
      <c r="E199" s="234">
        <f t="shared" ca="1" si="85"/>
        <v>0</v>
      </c>
      <c r="F199" s="206">
        <f t="shared" ca="1" si="85"/>
        <v>-6335737.4877642943</v>
      </c>
      <c r="G199" s="207">
        <f t="shared" ca="1" si="85"/>
        <v>0</v>
      </c>
      <c r="H199" s="207">
        <f t="shared" ca="1" si="85"/>
        <v>0</v>
      </c>
      <c r="I199" s="234">
        <f t="shared" ca="1" si="85"/>
        <v>0</v>
      </c>
      <c r="J199" s="601">
        <f t="shared" ca="1" si="85"/>
        <v>0</v>
      </c>
      <c r="K199" s="232">
        <f t="shared" ca="1" si="85"/>
        <v>0</v>
      </c>
      <c r="L199" s="232">
        <f t="shared" ca="1" si="85"/>
        <v>0</v>
      </c>
      <c r="M199" s="207">
        <f t="shared" ca="1" si="85"/>
        <v>0</v>
      </c>
      <c r="N199" s="235">
        <f t="shared" ca="1" si="85"/>
        <v>0</v>
      </c>
    </row>
    <row r="200" spans="1:14" x14ac:dyDescent="0.25">
      <c r="A200" s="205">
        <f t="shared" si="72"/>
        <v>2026</v>
      </c>
      <c r="B200" s="207">
        <f t="shared" ref="B200:N200" ca="1" si="86">IF($C79="","",IF($C79&lt;0,0,IF(AND($C79=1,start_time&lt;1),-(SUM(B153)*output_kgyear*$E79*percnt_var*start_time+SUM(B153)*output_kgyear*$E79*(1-start_time)),IF($C79&lt;=start_time,-SUM(B153)*output_kgyear*$E79*percnt_var,-SUM(B153)*output_kgyear*$E79))))</f>
        <v>-131788074.61940175</v>
      </c>
      <c r="C200" s="207">
        <f t="shared" ca="1" si="86"/>
        <v>0</v>
      </c>
      <c r="D200" s="207">
        <f t="shared" ca="1" si="86"/>
        <v>0</v>
      </c>
      <c r="E200" s="234">
        <f t="shared" ca="1" si="86"/>
        <v>0</v>
      </c>
      <c r="F200" s="206">
        <f t="shared" ca="1" si="86"/>
        <v>-6521681.0115365321</v>
      </c>
      <c r="G200" s="207">
        <f t="shared" ca="1" si="86"/>
        <v>0</v>
      </c>
      <c r="H200" s="207">
        <f t="shared" ca="1" si="86"/>
        <v>0</v>
      </c>
      <c r="I200" s="234">
        <f t="shared" ca="1" si="86"/>
        <v>0</v>
      </c>
      <c r="J200" s="601">
        <f t="shared" ca="1" si="86"/>
        <v>0</v>
      </c>
      <c r="K200" s="232">
        <f t="shared" ca="1" si="86"/>
        <v>0</v>
      </c>
      <c r="L200" s="232">
        <f t="shared" ca="1" si="86"/>
        <v>0</v>
      </c>
      <c r="M200" s="207">
        <f t="shared" ca="1" si="86"/>
        <v>0</v>
      </c>
      <c r="N200" s="235">
        <f t="shared" ca="1" si="86"/>
        <v>0</v>
      </c>
    </row>
    <row r="201" spans="1:14" x14ac:dyDescent="0.25">
      <c r="A201" s="205">
        <f t="shared" si="72"/>
        <v>2027</v>
      </c>
      <c r="B201" s="207">
        <f t="shared" ref="B201:N201" ca="1" si="87">IF($C80="","",IF($C80&lt;0,0,IF(AND($C80=1,start_time&lt;1),-(SUM(B154)*output_kgyear*$E80*percnt_var*start_time+SUM(B154)*output_kgyear*$E80*(1-start_time)),IF($C80&lt;=start_time,-SUM(B154)*output_kgyear*$E80*percnt_var,-SUM(B154)*output_kgyear*$E80))))</f>
        <v>-136634638.19959533</v>
      </c>
      <c r="C201" s="207">
        <f t="shared" ca="1" si="87"/>
        <v>0</v>
      </c>
      <c r="D201" s="207">
        <f t="shared" ca="1" si="87"/>
        <v>0</v>
      </c>
      <c r="E201" s="234">
        <f t="shared" ca="1" si="87"/>
        <v>0</v>
      </c>
      <c r="F201" s="206">
        <f t="shared" ca="1" si="87"/>
        <v>-6683883.0300025716</v>
      </c>
      <c r="G201" s="207">
        <f t="shared" ca="1" si="87"/>
        <v>0</v>
      </c>
      <c r="H201" s="207">
        <f t="shared" ca="1" si="87"/>
        <v>0</v>
      </c>
      <c r="I201" s="234">
        <f t="shared" ca="1" si="87"/>
        <v>0</v>
      </c>
      <c r="J201" s="601">
        <f t="shared" ca="1" si="87"/>
        <v>0</v>
      </c>
      <c r="K201" s="232">
        <f t="shared" ca="1" si="87"/>
        <v>0</v>
      </c>
      <c r="L201" s="232">
        <f t="shared" ca="1" si="87"/>
        <v>0</v>
      </c>
      <c r="M201" s="207">
        <f t="shared" ca="1" si="87"/>
        <v>0</v>
      </c>
      <c r="N201" s="235">
        <f t="shared" ca="1" si="87"/>
        <v>0</v>
      </c>
    </row>
    <row r="202" spans="1:14" x14ac:dyDescent="0.25">
      <c r="A202" s="205">
        <f t="shared" si="72"/>
        <v>2028</v>
      </c>
      <c r="B202" s="207">
        <f t="shared" ref="B202:N202" ca="1" si="88">IF($C81="","",IF($C81&lt;0,0,IF(AND($C81=1,start_time&lt;1),-(SUM(B155)*output_kgyear*$E81*percnt_var*start_time+SUM(B155)*output_kgyear*$E81*(1-start_time)),IF($C81&lt;=start_time,-SUM(B155)*output_kgyear*$E81*percnt_var,-SUM(B155)*output_kgyear*$E81))))</f>
        <v>-141597318.67110443</v>
      </c>
      <c r="C202" s="207">
        <f t="shared" ca="1" si="88"/>
        <v>0</v>
      </c>
      <c r="D202" s="207">
        <f t="shared" ca="1" si="88"/>
        <v>0</v>
      </c>
      <c r="E202" s="234">
        <f t="shared" ca="1" si="88"/>
        <v>0</v>
      </c>
      <c r="F202" s="206">
        <f t="shared" ca="1" si="88"/>
        <v>-6855130.5698616598</v>
      </c>
      <c r="G202" s="207">
        <f t="shared" ca="1" si="88"/>
        <v>0</v>
      </c>
      <c r="H202" s="207">
        <f t="shared" ca="1" si="88"/>
        <v>0</v>
      </c>
      <c r="I202" s="234">
        <f t="shared" ca="1" si="88"/>
        <v>0</v>
      </c>
      <c r="J202" s="601">
        <f t="shared" ca="1" si="88"/>
        <v>0</v>
      </c>
      <c r="K202" s="232">
        <f t="shared" ca="1" si="88"/>
        <v>0</v>
      </c>
      <c r="L202" s="232">
        <f t="shared" ca="1" si="88"/>
        <v>0</v>
      </c>
      <c r="M202" s="207">
        <f t="shared" ca="1" si="88"/>
        <v>0</v>
      </c>
      <c r="N202" s="235">
        <f t="shared" ca="1" si="88"/>
        <v>0</v>
      </c>
    </row>
    <row r="203" spans="1:14" x14ac:dyDescent="0.25">
      <c r="A203" s="205">
        <f t="shared" si="72"/>
        <v>2029</v>
      </c>
      <c r="B203" s="207">
        <f t="shared" ref="B203:N203" ca="1" si="89">IF($C82="","",IF($C82&lt;0,0,IF(AND($C82=1,start_time&lt;1),-(SUM(B156)*output_kgyear*$E82*percnt_var*start_time+SUM(B156)*output_kgyear*$E82*(1-start_time)),IF($C82&lt;=start_time,-SUM(B156)*output_kgyear*$E82*percnt_var,-SUM(B156)*output_kgyear*$E82))))</f>
        <v>-146313991.70991367</v>
      </c>
      <c r="C203" s="207">
        <f t="shared" ca="1" si="89"/>
        <v>0</v>
      </c>
      <c r="D203" s="207">
        <f t="shared" ca="1" si="89"/>
        <v>0</v>
      </c>
      <c r="E203" s="234">
        <f t="shared" ca="1" si="89"/>
        <v>0</v>
      </c>
      <c r="F203" s="206">
        <f t="shared" ca="1" si="89"/>
        <v>-7020807.2577551994</v>
      </c>
      <c r="G203" s="207">
        <f t="shared" ca="1" si="89"/>
        <v>0</v>
      </c>
      <c r="H203" s="207">
        <f t="shared" ca="1" si="89"/>
        <v>0</v>
      </c>
      <c r="I203" s="234">
        <f t="shared" ca="1" si="89"/>
        <v>0</v>
      </c>
      <c r="J203" s="601">
        <f t="shared" ca="1" si="89"/>
        <v>0</v>
      </c>
      <c r="K203" s="232">
        <f t="shared" ca="1" si="89"/>
        <v>0</v>
      </c>
      <c r="L203" s="232">
        <f t="shared" ca="1" si="89"/>
        <v>0</v>
      </c>
      <c r="M203" s="207">
        <f t="shared" ca="1" si="89"/>
        <v>0</v>
      </c>
      <c r="N203" s="235">
        <f t="shared" ca="1" si="89"/>
        <v>0</v>
      </c>
    </row>
    <row r="204" spans="1:14" x14ac:dyDescent="0.25">
      <c r="A204" s="205">
        <f t="shared" si="72"/>
        <v>2030</v>
      </c>
      <c r="B204" s="207">
        <f t="shared" ref="B204:N204" ca="1" si="90">IF($C83="","",IF($C83&lt;0,0,IF(AND($C83=1,start_time&lt;1),-(SUM(B157)*output_kgyear*$E83*percnt_var*start_time+SUM(B157)*output_kgyear*$E83*(1-start_time)),IF($C83&lt;=start_time,-SUM(B157)*output_kgyear*$E83*percnt_var,-SUM(B157)*output_kgyear*$E83))))</f>
        <v>-149609732.7609579</v>
      </c>
      <c r="C204" s="207">
        <f t="shared" ca="1" si="90"/>
        <v>0</v>
      </c>
      <c r="D204" s="207">
        <f t="shared" ca="1" si="90"/>
        <v>0</v>
      </c>
      <c r="E204" s="234">
        <f t="shared" ca="1" si="90"/>
        <v>0</v>
      </c>
      <c r="F204" s="206">
        <f t="shared" ca="1" si="90"/>
        <v>-7179284.1338589806</v>
      </c>
      <c r="G204" s="207">
        <f t="shared" ca="1" si="90"/>
        <v>0</v>
      </c>
      <c r="H204" s="207">
        <f t="shared" ca="1" si="90"/>
        <v>0</v>
      </c>
      <c r="I204" s="234">
        <f t="shared" ca="1" si="90"/>
        <v>0</v>
      </c>
      <c r="J204" s="601">
        <f t="shared" ca="1" si="90"/>
        <v>0</v>
      </c>
      <c r="K204" s="232">
        <f t="shared" ca="1" si="90"/>
        <v>0</v>
      </c>
      <c r="L204" s="232">
        <f t="shared" ca="1" si="90"/>
        <v>0</v>
      </c>
      <c r="M204" s="207">
        <f t="shared" ca="1" si="90"/>
        <v>0</v>
      </c>
      <c r="N204" s="235">
        <f t="shared" ca="1" si="90"/>
        <v>0</v>
      </c>
    </row>
    <row r="205" spans="1:14" x14ac:dyDescent="0.25">
      <c r="A205" s="205">
        <f t="shared" si="72"/>
        <v>2031</v>
      </c>
      <c r="B205" s="207">
        <f t="shared" ref="B205:N205" ca="1" si="91">IF($C84="","",IF($C84&lt;0,0,IF(AND($C84=1,start_time&lt;1),-(SUM(B158)*output_kgyear*$E84*percnt_var*start_time+SUM(B158)*output_kgyear*$E84*(1-start_time)),IF($C84&lt;=start_time,-SUM(B158)*output_kgyear*$E84*percnt_var,-SUM(B158)*output_kgyear*$E84))))</f>
        <v>-153106600.63432845</v>
      </c>
      <c r="C205" s="207">
        <f t="shared" ca="1" si="91"/>
        <v>0</v>
      </c>
      <c r="D205" s="207">
        <f t="shared" ca="1" si="91"/>
        <v>0</v>
      </c>
      <c r="E205" s="234">
        <f t="shared" ca="1" si="91"/>
        <v>0</v>
      </c>
      <c r="F205" s="206">
        <f t="shared" ca="1" si="91"/>
        <v>-7324958.4478161251</v>
      </c>
      <c r="G205" s="207">
        <f t="shared" ca="1" si="91"/>
        <v>0</v>
      </c>
      <c r="H205" s="207">
        <f t="shared" ca="1" si="91"/>
        <v>0</v>
      </c>
      <c r="I205" s="234">
        <f t="shared" ca="1" si="91"/>
        <v>0</v>
      </c>
      <c r="J205" s="601">
        <f t="shared" ca="1" si="91"/>
        <v>0</v>
      </c>
      <c r="K205" s="232">
        <f t="shared" ca="1" si="91"/>
        <v>0</v>
      </c>
      <c r="L205" s="232">
        <f t="shared" ca="1" si="91"/>
        <v>0</v>
      </c>
      <c r="M205" s="207">
        <f t="shared" ca="1" si="91"/>
        <v>0</v>
      </c>
      <c r="N205" s="235">
        <f t="shared" ca="1" si="91"/>
        <v>0</v>
      </c>
    </row>
    <row r="206" spans="1:14" x14ac:dyDescent="0.25">
      <c r="A206" s="205">
        <f t="shared" si="72"/>
        <v>2032</v>
      </c>
      <c r="B206" s="207">
        <f t="shared" ref="B206:N206" ca="1" si="92">IF($C85="","",IF($C85&lt;0,0,IF(AND($C85=1,start_time&lt;1),-(SUM(B159)*output_kgyear*$E85*percnt_var*start_time+SUM(B159)*output_kgyear*$E85*(1-start_time)),IF($C85&lt;=start_time,-SUM(B159)*output_kgyear*$E85*percnt_var,-SUM(B159)*output_kgyear*$E85))))</f>
        <v>-155624665.56501278</v>
      </c>
      <c r="C206" s="207">
        <f t="shared" ca="1" si="92"/>
        <v>0</v>
      </c>
      <c r="D206" s="207">
        <f t="shared" ca="1" si="92"/>
        <v>0</v>
      </c>
      <c r="E206" s="234">
        <f t="shared" ca="1" si="92"/>
        <v>0</v>
      </c>
      <c r="F206" s="206">
        <f t="shared" ca="1" si="92"/>
        <v>-7447103.2987318002</v>
      </c>
      <c r="G206" s="207">
        <f t="shared" ca="1" si="92"/>
        <v>0</v>
      </c>
      <c r="H206" s="207">
        <f t="shared" ca="1" si="92"/>
        <v>0</v>
      </c>
      <c r="I206" s="234">
        <f t="shared" ca="1" si="92"/>
        <v>0</v>
      </c>
      <c r="J206" s="601">
        <f t="shared" ca="1" si="92"/>
        <v>0</v>
      </c>
      <c r="K206" s="232">
        <f t="shared" ca="1" si="92"/>
        <v>0</v>
      </c>
      <c r="L206" s="232">
        <f t="shared" ca="1" si="92"/>
        <v>0</v>
      </c>
      <c r="M206" s="207">
        <f t="shared" ca="1" si="92"/>
        <v>0</v>
      </c>
      <c r="N206" s="235">
        <f t="shared" ca="1" si="92"/>
        <v>0</v>
      </c>
    </row>
    <row r="207" spans="1:14" x14ac:dyDescent="0.25">
      <c r="A207" s="205">
        <f t="shared" si="72"/>
        <v>2033</v>
      </c>
      <c r="B207" s="207">
        <f t="shared" ref="B207:N207" ca="1" si="93">IF($C86="","",IF($C86&lt;0,0,IF(AND($C86=1,start_time&lt;1),-(SUM(B160)*output_kgyear*$E86*percnt_var*start_time+SUM(B160)*output_kgyear*$E86*(1-start_time)),IF($C86&lt;=start_time,-SUM(B160)*output_kgyear*$E86*percnt_var,-SUM(B160)*output_kgyear*$E86))))</f>
        <v>-157006642.44790617</v>
      </c>
      <c r="C207" s="207">
        <f t="shared" ca="1" si="93"/>
        <v>0</v>
      </c>
      <c r="D207" s="207">
        <f t="shared" ca="1" si="93"/>
        <v>0</v>
      </c>
      <c r="E207" s="234">
        <f t="shared" ca="1" si="93"/>
        <v>0</v>
      </c>
      <c r="F207" s="206">
        <f t="shared" ca="1" si="93"/>
        <v>-7561473.6235553976</v>
      </c>
      <c r="G207" s="207">
        <f t="shared" ca="1" si="93"/>
        <v>0</v>
      </c>
      <c r="H207" s="207">
        <f t="shared" ca="1" si="93"/>
        <v>0</v>
      </c>
      <c r="I207" s="234">
        <f t="shared" ca="1" si="93"/>
        <v>0</v>
      </c>
      <c r="J207" s="601">
        <f t="shared" ca="1" si="93"/>
        <v>0</v>
      </c>
      <c r="K207" s="232">
        <f t="shared" ca="1" si="93"/>
        <v>0</v>
      </c>
      <c r="L207" s="232">
        <f t="shared" ca="1" si="93"/>
        <v>0</v>
      </c>
      <c r="M207" s="207">
        <f t="shared" ca="1" si="93"/>
        <v>0</v>
      </c>
      <c r="N207" s="235">
        <f t="shared" ca="1" si="93"/>
        <v>0</v>
      </c>
    </row>
    <row r="208" spans="1:14" x14ac:dyDescent="0.25">
      <c r="A208" s="205">
        <f t="shared" si="72"/>
        <v>2034</v>
      </c>
      <c r="B208" s="207">
        <f t="shared" ref="B208:N208" ca="1" si="94">IF($C87="","",IF($C87&lt;0,0,IF(AND($C87=1,start_time&lt;1),-(SUM(B161)*output_kgyear*$E87*percnt_var*start_time+SUM(B161)*output_kgyear*$E87*(1-start_time)),IF($C87&lt;=start_time,-SUM(B161)*output_kgyear*$E87*percnt_var,-SUM(B161)*output_kgyear*$E87))))</f>
        <v>-159948973.37489995</v>
      </c>
      <c r="C208" s="207">
        <f t="shared" ca="1" si="94"/>
        <v>0</v>
      </c>
      <c r="D208" s="207">
        <f t="shared" ca="1" si="94"/>
        <v>0</v>
      </c>
      <c r="E208" s="234">
        <f t="shared" ca="1" si="94"/>
        <v>0</v>
      </c>
      <c r="F208" s="206">
        <f t="shared" ca="1" si="94"/>
        <v>-7682748.2059389893</v>
      </c>
      <c r="G208" s="207">
        <f t="shared" ca="1" si="94"/>
        <v>0</v>
      </c>
      <c r="H208" s="207">
        <f t="shared" ca="1" si="94"/>
        <v>0</v>
      </c>
      <c r="I208" s="234">
        <f t="shared" ca="1" si="94"/>
        <v>0</v>
      </c>
      <c r="J208" s="601">
        <f t="shared" ca="1" si="94"/>
        <v>0</v>
      </c>
      <c r="K208" s="232">
        <f t="shared" ca="1" si="94"/>
        <v>0</v>
      </c>
      <c r="L208" s="232">
        <f t="shared" ca="1" si="94"/>
        <v>0</v>
      </c>
      <c r="M208" s="207">
        <f t="shared" ca="1" si="94"/>
        <v>0</v>
      </c>
      <c r="N208" s="235">
        <f t="shared" ca="1" si="94"/>
        <v>0</v>
      </c>
    </row>
    <row r="209" spans="1:14" x14ac:dyDescent="0.25">
      <c r="A209" s="205">
        <f t="shared" si="72"/>
        <v>2035</v>
      </c>
      <c r="B209" s="207">
        <f t="shared" ref="B209:N209" ca="1" si="95">IF($C88="","",IF($C88&lt;0,0,IF(AND($C88=1,start_time&lt;1),-(SUM(B162)*output_kgyear*$E88*percnt_var*start_time+SUM(B162)*output_kgyear*$E88*(1-start_time)),IF($C88&lt;=start_time,-SUM(B162)*output_kgyear*$E88*percnt_var,-SUM(B162)*output_kgyear*$E88))))</f>
        <v>-165520372.89433342</v>
      </c>
      <c r="C209" s="207">
        <f t="shared" ca="1" si="95"/>
        <v>0</v>
      </c>
      <c r="D209" s="207">
        <f t="shared" ca="1" si="95"/>
        <v>0</v>
      </c>
      <c r="E209" s="234">
        <f t="shared" ca="1" si="95"/>
        <v>0</v>
      </c>
      <c r="F209" s="206">
        <f t="shared" ca="1" si="95"/>
        <v>-7856402.9285258427</v>
      </c>
      <c r="G209" s="207">
        <f t="shared" ca="1" si="95"/>
        <v>0</v>
      </c>
      <c r="H209" s="207">
        <f t="shared" ca="1" si="95"/>
        <v>0</v>
      </c>
      <c r="I209" s="234">
        <f t="shared" ca="1" si="95"/>
        <v>0</v>
      </c>
      <c r="J209" s="601">
        <f t="shared" ca="1" si="95"/>
        <v>0</v>
      </c>
      <c r="K209" s="232">
        <f t="shared" ca="1" si="95"/>
        <v>0</v>
      </c>
      <c r="L209" s="232">
        <f t="shared" ca="1" si="95"/>
        <v>0</v>
      </c>
      <c r="M209" s="207">
        <f t="shared" ca="1" si="95"/>
        <v>0</v>
      </c>
      <c r="N209" s="235">
        <f t="shared" ca="1" si="95"/>
        <v>0</v>
      </c>
    </row>
    <row r="210" spans="1:14" x14ac:dyDescent="0.25">
      <c r="A210" s="205">
        <f t="shared" si="72"/>
        <v>2036</v>
      </c>
      <c r="B210" s="207">
        <f t="shared" ref="B210:N210" ca="1" si="96">IF($C89="","",IF($C89&lt;0,0,IF(AND($C89=1,start_time&lt;1),-(SUM(B163)*output_kgyear*$E89*percnt_var*start_time+SUM(B163)*output_kgyear*$E89*(1-start_time)),IF($C89&lt;=start_time,-SUM(B163)*output_kgyear*$E89*percnt_var,-SUM(B163)*output_kgyear*$E89))))</f>
        <v>-168777303.20594794</v>
      </c>
      <c r="C210" s="207">
        <f t="shared" ca="1" si="96"/>
        <v>0</v>
      </c>
      <c r="D210" s="207">
        <f t="shared" ca="1" si="96"/>
        <v>0</v>
      </c>
      <c r="E210" s="234">
        <f t="shared" ca="1" si="96"/>
        <v>0</v>
      </c>
      <c r="F210" s="206">
        <f t="shared" ca="1" si="96"/>
        <v>-8034782.4550108109</v>
      </c>
      <c r="G210" s="207">
        <f t="shared" ca="1" si="96"/>
        <v>0</v>
      </c>
      <c r="H210" s="207">
        <f t="shared" ca="1" si="96"/>
        <v>0</v>
      </c>
      <c r="I210" s="234">
        <f t="shared" ca="1" si="96"/>
        <v>0</v>
      </c>
      <c r="J210" s="601">
        <f t="shared" ca="1" si="96"/>
        <v>0</v>
      </c>
      <c r="K210" s="232">
        <f t="shared" ca="1" si="96"/>
        <v>0</v>
      </c>
      <c r="L210" s="232">
        <f t="shared" ca="1" si="96"/>
        <v>0</v>
      </c>
      <c r="M210" s="207">
        <f t="shared" ca="1" si="96"/>
        <v>0</v>
      </c>
      <c r="N210" s="235">
        <f t="shared" ca="1" si="96"/>
        <v>0</v>
      </c>
    </row>
    <row r="211" spans="1:14" x14ac:dyDescent="0.25">
      <c r="A211" s="205">
        <f t="shared" si="72"/>
        <v>2037</v>
      </c>
      <c r="B211" s="207">
        <f t="shared" ref="B211:N211" ca="1" si="97">IF($C90="","",IF($C90&lt;0,0,IF(AND($C90=1,start_time&lt;1),-(SUM(B164)*output_kgyear*$E90*percnt_var*start_time+SUM(B164)*output_kgyear*$E90*(1-start_time)),IF($C90&lt;=start_time,-SUM(B164)*output_kgyear*$E90*percnt_var,-SUM(B164)*output_kgyear*$E90))))</f>
        <v>-172298919.67563188</v>
      </c>
      <c r="C211" s="207">
        <f t="shared" ca="1" si="97"/>
        <v>0</v>
      </c>
      <c r="D211" s="207">
        <f t="shared" ca="1" si="97"/>
        <v>0</v>
      </c>
      <c r="E211" s="234">
        <f t="shared" ca="1" si="97"/>
        <v>0</v>
      </c>
      <c r="F211" s="206">
        <f t="shared" ca="1" si="97"/>
        <v>-8181252.8260258939</v>
      </c>
      <c r="G211" s="207">
        <f t="shared" ca="1" si="97"/>
        <v>0</v>
      </c>
      <c r="H211" s="207">
        <f t="shared" ca="1" si="97"/>
        <v>0</v>
      </c>
      <c r="I211" s="234">
        <f t="shared" ca="1" si="97"/>
        <v>0</v>
      </c>
      <c r="J211" s="601">
        <f t="shared" ca="1" si="97"/>
        <v>0</v>
      </c>
      <c r="K211" s="232">
        <f t="shared" ca="1" si="97"/>
        <v>0</v>
      </c>
      <c r="L211" s="232">
        <f t="shared" ca="1" si="97"/>
        <v>0</v>
      </c>
      <c r="M211" s="207">
        <f t="shared" ca="1" si="97"/>
        <v>0</v>
      </c>
      <c r="N211" s="235">
        <f t="shared" ca="1" si="97"/>
        <v>0</v>
      </c>
    </row>
    <row r="212" spans="1:14" x14ac:dyDescent="0.25">
      <c r="A212" s="205">
        <f t="shared" si="72"/>
        <v>2038</v>
      </c>
      <c r="B212" s="207">
        <f t="shared" ref="B212:N212" ca="1" si="98">IF($C91="","",IF($C91&lt;0,0,IF(AND($C91=1,start_time&lt;1),-(SUM(B165)*output_kgyear*$E91*percnt_var*start_time+SUM(B165)*output_kgyear*$E91*(1-start_time)),IF($C91&lt;=start_time,-SUM(B165)*output_kgyear*$E91*percnt_var,-SUM(B165)*output_kgyear*$E91))))</f>
        <v>-175401519.3756319</v>
      </c>
      <c r="C212" s="207">
        <f t="shared" ca="1" si="98"/>
        <v>0</v>
      </c>
      <c r="D212" s="207">
        <f t="shared" ca="1" si="98"/>
        <v>0</v>
      </c>
      <c r="E212" s="234">
        <f t="shared" ca="1" si="98"/>
        <v>0</v>
      </c>
      <c r="F212" s="206">
        <f t="shared" ca="1" si="98"/>
        <v>-8338548.318299585</v>
      </c>
      <c r="G212" s="207">
        <f t="shared" ca="1" si="98"/>
        <v>0</v>
      </c>
      <c r="H212" s="207">
        <f t="shared" ca="1" si="98"/>
        <v>0</v>
      </c>
      <c r="I212" s="234">
        <f t="shared" ca="1" si="98"/>
        <v>0</v>
      </c>
      <c r="J212" s="601">
        <f t="shared" ca="1" si="98"/>
        <v>0</v>
      </c>
      <c r="K212" s="232">
        <f t="shared" ca="1" si="98"/>
        <v>0</v>
      </c>
      <c r="L212" s="232">
        <f t="shared" ca="1" si="98"/>
        <v>0</v>
      </c>
      <c r="M212" s="207">
        <f t="shared" ca="1" si="98"/>
        <v>0</v>
      </c>
      <c r="N212" s="235">
        <f t="shared" ca="1" si="98"/>
        <v>0</v>
      </c>
    </row>
    <row r="213" spans="1:14" x14ac:dyDescent="0.25">
      <c r="A213" s="205">
        <f t="shared" si="72"/>
        <v>2039</v>
      </c>
      <c r="B213" s="207">
        <f t="shared" ref="B213:N213" ca="1" si="99">IF($C92="","",IF($C92&lt;0,0,IF(AND($C92=1,start_time&lt;1),-(SUM(B166)*output_kgyear*$E92*percnt_var*start_time+SUM(B166)*output_kgyear*$E92*(1-start_time)),IF($C92&lt;=start_time,-SUM(B166)*output_kgyear*$E92*percnt_var,-SUM(B166)*output_kgyear*$E92))))</f>
        <v>-179412796.51746228</v>
      </c>
      <c r="C213" s="207">
        <f t="shared" ca="1" si="99"/>
        <v>0</v>
      </c>
      <c r="D213" s="207">
        <f t="shared" ca="1" si="99"/>
        <v>0</v>
      </c>
      <c r="E213" s="234">
        <f t="shared" ca="1" si="99"/>
        <v>0</v>
      </c>
      <c r="F213" s="206">
        <f t="shared" ca="1" si="99"/>
        <v>-8503556.805155769</v>
      </c>
      <c r="G213" s="207">
        <f t="shared" ca="1" si="99"/>
        <v>0</v>
      </c>
      <c r="H213" s="207">
        <f t="shared" ca="1" si="99"/>
        <v>0</v>
      </c>
      <c r="I213" s="234">
        <f t="shared" ca="1" si="99"/>
        <v>0</v>
      </c>
      <c r="J213" s="601">
        <f t="shared" ca="1" si="99"/>
        <v>0</v>
      </c>
      <c r="K213" s="232">
        <f t="shared" ca="1" si="99"/>
        <v>0</v>
      </c>
      <c r="L213" s="232">
        <f t="shared" ca="1" si="99"/>
        <v>0</v>
      </c>
      <c r="M213" s="207">
        <f t="shared" ca="1" si="99"/>
        <v>0</v>
      </c>
      <c r="N213" s="235">
        <f t="shared" ca="1" si="99"/>
        <v>0</v>
      </c>
    </row>
    <row r="214" spans="1:14" x14ac:dyDescent="0.25">
      <c r="A214" s="205">
        <f t="shared" si="72"/>
        <v>2040</v>
      </c>
      <c r="B214" s="207">
        <f t="shared" ref="B214:N214" ca="1" si="100">IF($C93="","",IF($C93&lt;0,0,IF(AND($C93=1,start_time&lt;1),-(SUM(B167)*output_kgyear*$E93*percnt_var*start_time+SUM(B167)*output_kgyear*$E93*(1-start_time)),IF($C93&lt;=start_time,-SUM(B167)*output_kgyear*$E93*percnt_var,-SUM(B167)*output_kgyear*$E93))))</f>
        <v>-181436749.59412587</v>
      </c>
      <c r="C214" s="207">
        <f t="shared" ca="1" si="100"/>
        <v>0</v>
      </c>
      <c r="D214" s="207">
        <f t="shared" ca="1" si="100"/>
        <v>0</v>
      </c>
      <c r="E214" s="234">
        <f t="shared" ca="1" si="100"/>
        <v>0</v>
      </c>
      <c r="F214" s="206">
        <f t="shared" ca="1" si="100"/>
        <v>-8644806.9461473916</v>
      </c>
      <c r="G214" s="207">
        <f t="shared" ca="1" si="100"/>
        <v>0</v>
      </c>
      <c r="H214" s="207">
        <f t="shared" ca="1" si="100"/>
        <v>0</v>
      </c>
      <c r="I214" s="234">
        <f t="shared" ca="1" si="100"/>
        <v>0</v>
      </c>
      <c r="J214" s="601">
        <f t="shared" ca="1" si="100"/>
        <v>0</v>
      </c>
      <c r="K214" s="232">
        <f t="shared" ca="1" si="100"/>
        <v>0</v>
      </c>
      <c r="L214" s="232">
        <f t="shared" ca="1" si="100"/>
        <v>0</v>
      </c>
      <c r="M214" s="207">
        <f t="shared" ca="1" si="100"/>
        <v>0</v>
      </c>
      <c r="N214" s="235">
        <f t="shared" ca="1" si="100"/>
        <v>0</v>
      </c>
    </row>
    <row r="215" spans="1:14" x14ac:dyDescent="0.25">
      <c r="A215" s="205">
        <f t="shared" si="72"/>
        <v>2041</v>
      </c>
      <c r="B215" s="207">
        <f t="shared" ref="B215:N215" ca="1" si="101">IF($C94="","",IF($C94&lt;0,0,IF(AND($C94=1,start_time&lt;1),-(SUM(B168)*output_kgyear*$E94*percnt_var*start_time+SUM(B168)*output_kgyear*$E94*(1-start_time)),IF($C94&lt;=start_time,-SUM(B168)*output_kgyear*$E94*percnt_var,-SUM(B168)*output_kgyear*$E94))))</f>
        <v>-185033581.54759178</v>
      </c>
      <c r="C215" s="207">
        <f t="shared" ca="1" si="101"/>
        <v>0</v>
      </c>
      <c r="D215" s="207">
        <f t="shared" ca="1" si="101"/>
        <v>0</v>
      </c>
      <c r="E215" s="234">
        <f t="shared" ca="1" si="101"/>
        <v>0</v>
      </c>
      <c r="F215" s="206">
        <f t="shared" ca="1" si="101"/>
        <v>-8783151.4387176335</v>
      </c>
      <c r="G215" s="207">
        <f t="shared" ca="1" si="101"/>
        <v>0</v>
      </c>
      <c r="H215" s="207">
        <f t="shared" ca="1" si="101"/>
        <v>0</v>
      </c>
      <c r="I215" s="234">
        <f t="shared" ca="1" si="101"/>
        <v>0</v>
      </c>
      <c r="J215" s="601">
        <f t="shared" ca="1" si="101"/>
        <v>0</v>
      </c>
      <c r="K215" s="232">
        <f t="shared" ca="1" si="101"/>
        <v>0</v>
      </c>
      <c r="L215" s="232">
        <f t="shared" ca="1" si="101"/>
        <v>0</v>
      </c>
      <c r="M215" s="207">
        <f t="shared" ca="1" si="101"/>
        <v>0</v>
      </c>
      <c r="N215" s="235">
        <f t="shared" ca="1" si="101"/>
        <v>0</v>
      </c>
    </row>
    <row r="216" spans="1:14" x14ac:dyDescent="0.25">
      <c r="A216" s="205">
        <f t="shared" si="72"/>
        <v>2042</v>
      </c>
      <c r="B216" s="207">
        <f t="shared" ref="B216:N216" ca="1" si="102">IF($C95="","",IF($C95&lt;0,0,IF(AND($C95=1,start_time&lt;1),-(SUM(B169)*output_kgyear*$E95*percnt_var*start_time+SUM(B169)*output_kgyear*$E95*(1-start_time)),IF($C95&lt;=start_time,-SUM(B169)*output_kgyear*$E95*percnt_var,-SUM(B169)*output_kgyear*$E95))))</f>
        <v>-190364662.56106323</v>
      </c>
      <c r="C216" s="207">
        <f t="shared" ca="1" si="102"/>
        <v>0</v>
      </c>
      <c r="D216" s="207">
        <f t="shared" ca="1" si="102"/>
        <v>0</v>
      </c>
      <c r="E216" s="234">
        <f t="shared" ca="1" si="102"/>
        <v>0</v>
      </c>
      <c r="F216" s="206">
        <f t="shared" ca="1" si="102"/>
        <v>-8960411.9790962059</v>
      </c>
      <c r="G216" s="207">
        <f t="shared" ca="1" si="102"/>
        <v>0</v>
      </c>
      <c r="H216" s="207">
        <f t="shared" ca="1" si="102"/>
        <v>0</v>
      </c>
      <c r="I216" s="234">
        <f t="shared" ca="1" si="102"/>
        <v>0</v>
      </c>
      <c r="J216" s="601">
        <f t="shared" ca="1" si="102"/>
        <v>0</v>
      </c>
      <c r="K216" s="232">
        <f t="shared" ca="1" si="102"/>
        <v>0</v>
      </c>
      <c r="L216" s="232">
        <f t="shared" ca="1" si="102"/>
        <v>0</v>
      </c>
      <c r="M216" s="207">
        <f t="shared" ca="1" si="102"/>
        <v>0</v>
      </c>
      <c r="N216" s="235">
        <f t="shared" ca="1" si="102"/>
        <v>0</v>
      </c>
    </row>
    <row r="217" spans="1:14" x14ac:dyDescent="0.25">
      <c r="A217" s="205">
        <f t="shared" si="72"/>
        <v>2043</v>
      </c>
      <c r="B217" s="207">
        <f t="shared" ref="B217:N217" ca="1" si="103">IF($C96="","",IF($C96&lt;0,0,IF(AND($C96=1,start_time&lt;1),-(SUM(B170)*output_kgyear*$E96*percnt_var*start_time+SUM(B170)*output_kgyear*$E96*(1-start_time)),IF($C96&lt;=start_time,-SUM(B170)*output_kgyear*$E96*percnt_var,-SUM(B170)*output_kgyear*$E96))))</f>
        <v>-196813156.15166616</v>
      </c>
      <c r="C217" s="207">
        <f t="shared" ca="1" si="103"/>
        <v>0</v>
      </c>
      <c r="D217" s="207">
        <f t="shared" ca="1" si="103"/>
        <v>0</v>
      </c>
      <c r="E217" s="234">
        <f t="shared" ca="1" si="103"/>
        <v>0</v>
      </c>
      <c r="F217" s="206">
        <f t="shared" ca="1" si="103"/>
        <v>-9158524.5716786887</v>
      </c>
      <c r="G217" s="207">
        <f t="shared" ca="1" si="103"/>
        <v>0</v>
      </c>
      <c r="H217" s="207">
        <f t="shared" ca="1" si="103"/>
        <v>0</v>
      </c>
      <c r="I217" s="234">
        <f t="shared" ca="1" si="103"/>
        <v>0</v>
      </c>
      <c r="J217" s="601">
        <f t="shared" ca="1" si="103"/>
        <v>0</v>
      </c>
      <c r="K217" s="232">
        <f t="shared" ca="1" si="103"/>
        <v>0</v>
      </c>
      <c r="L217" s="232">
        <f t="shared" ca="1" si="103"/>
        <v>0</v>
      </c>
      <c r="M217" s="207">
        <f t="shared" ca="1" si="103"/>
        <v>0</v>
      </c>
      <c r="N217" s="235">
        <f t="shared" ca="1" si="103"/>
        <v>0</v>
      </c>
    </row>
    <row r="218" spans="1:14" x14ac:dyDescent="0.25">
      <c r="A218" s="205">
        <f t="shared" si="72"/>
        <v>2044</v>
      </c>
      <c r="B218" s="207">
        <f t="shared" ref="B218:N218" ca="1" si="104">IF($C97="","",IF($C97&lt;0,0,IF(AND($C97=1,start_time&lt;1),-(SUM(B171)*output_kgyear*$E97*percnt_var*start_time+SUM(B171)*output_kgyear*$E97*(1-start_time)),IF($C97&lt;=start_time,-SUM(B171)*output_kgyear*$E97*percnt_var,-SUM(B171)*output_kgyear*$E97))))</f>
        <v>-202530208.98662993</v>
      </c>
      <c r="C218" s="207">
        <f t="shared" ca="1" si="104"/>
        <v>0</v>
      </c>
      <c r="D218" s="207">
        <f t="shared" ca="1" si="104"/>
        <v>0</v>
      </c>
      <c r="E218" s="234">
        <f t="shared" ca="1" si="104"/>
        <v>0</v>
      </c>
      <c r="F218" s="206">
        <f t="shared" ca="1" si="104"/>
        <v>-9367700.3712745979</v>
      </c>
      <c r="G218" s="207">
        <f t="shared" ca="1" si="104"/>
        <v>0</v>
      </c>
      <c r="H218" s="207">
        <f t="shared" ca="1" si="104"/>
        <v>0</v>
      </c>
      <c r="I218" s="234">
        <f t="shared" ca="1" si="104"/>
        <v>0</v>
      </c>
      <c r="J218" s="601">
        <f t="shared" ca="1" si="104"/>
        <v>0</v>
      </c>
      <c r="K218" s="232">
        <f t="shared" ca="1" si="104"/>
        <v>0</v>
      </c>
      <c r="L218" s="232">
        <f t="shared" ca="1" si="104"/>
        <v>0</v>
      </c>
      <c r="M218" s="207">
        <f t="shared" ca="1" si="104"/>
        <v>0</v>
      </c>
      <c r="N218" s="235">
        <f t="shared" ca="1" si="104"/>
        <v>0</v>
      </c>
    </row>
    <row r="219" spans="1:14" x14ac:dyDescent="0.25">
      <c r="A219" s="205">
        <f t="shared" si="72"/>
        <v>2045</v>
      </c>
      <c r="B219" s="207">
        <f t="shared" ref="B219:N219" ca="1" si="105">IF($C98="","",IF($C98&lt;0,0,IF(AND($C98=1,start_time&lt;1),-(SUM(B172)*output_kgyear*$E98*percnt_var*start_time+SUM(B172)*output_kgyear*$E98*(1-start_time)),IF($C98&lt;=start_time,-SUM(B172)*output_kgyear*$E98*percnt_var,-SUM(B172)*output_kgyear*$E98))))</f>
        <v>-209028316.08645171</v>
      </c>
      <c r="C219" s="207">
        <f t="shared" ca="1" si="105"/>
        <v>0</v>
      </c>
      <c r="D219" s="207">
        <f t="shared" ca="1" si="105"/>
        <v>0</v>
      </c>
      <c r="E219" s="234">
        <f t="shared" ca="1" si="105"/>
        <v>0</v>
      </c>
      <c r="F219" s="206">
        <f t="shared" ca="1" si="105"/>
        <v>-9580556.7849592529</v>
      </c>
      <c r="G219" s="207">
        <f t="shared" ca="1" si="105"/>
        <v>0</v>
      </c>
      <c r="H219" s="207">
        <f t="shared" ca="1" si="105"/>
        <v>0</v>
      </c>
      <c r="I219" s="234">
        <f t="shared" ca="1" si="105"/>
        <v>0</v>
      </c>
      <c r="J219" s="601">
        <f t="shared" ca="1" si="105"/>
        <v>0</v>
      </c>
      <c r="K219" s="232">
        <f t="shared" ca="1" si="105"/>
        <v>0</v>
      </c>
      <c r="L219" s="232">
        <f t="shared" ca="1" si="105"/>
        <v>0</v>
      </c>
      <c r="M219" s="207">
        <f t="shared" ca="1" si="105"/>
        <v>0</v>
      </c>
      <c r="N219" s="235">
        <f t="shared" ca="1" si="105"/>
        <v>0</v>
      </c>
    </row>
    <row r="220" spans="1:14" x14ac:dyDescent="0.25">
      <c r="A220" s="205">
        <f t="shared" si="72"/>
        <v>2046</v>
      </c>
      <c r="B220" s="207">
        <f t="shared" ref="B220:N220" ca="1" si="106">IF($C99="","",IF($C99&lt;0,0,IF(AND($C99=1,start_time&lt;1),-(SUM(B173)*output_kgyear*$E99*percnt_var*start_time+SUM(B173)*output_kgyear*$E99*(1-start_time)),IF($C99&lt;=start_time,-SUM(B173)*output_kgyear*$E99*percnt_var,-SUM(B173)*output_kgyear*$E99))))</f>
        <v>-215064210.77565929</v>
      </c>
      <c r="C220" s="207">
        <f t="shared" ca="1" si="106"/>
        <v>0</v>
      </c>
      <c r="D220" s="207">
        <f t="shared" ca="1" si="106"/>
        <v>0</v>
      </c>
      <c r="E220" s="234">
        <f t="shared" ca="1" si="106"/>
        <v>0</v>
      </c>
      <c r="F220" s="206">
        <f t="shared" ca="1" si="106"/>
        <v>-9798713.6885228697</v>
      </c>
      <c r="G220" s="207">
        <f t="shared" ca="1" si="106"/>
        <v>0</v>
      </c>
      <c r="H220" s="207">
        <f t="shared" ca="1" si="106"/>
        <v>0</v>
      </c>
      <c r="I220" s="234">
        <f t="shared" ca="1" si="106"/>
        <v>0</v>
      </c>
      <c r="J220" s="601">
        <f t="shared" ca="1" si="106"/>
        <v>0</v>
      </c>
      <c r="K220" s="232">
        <f t="shared" ca="1" si="106"/>
        <v>0</v>
      </c>
      <c r="L220" s="232">
        <f t="shared" ca="1" si="106"/>
        <v>0</v>
      </c>
      <c r="M220" s="207">
        <f t="shared" ca="1" si="106"/>
        <v>0</v>
      </c>
      <c r="N220" s="235">
        <f t="shared" ca="1" si="106"/>
        <v>0</v>
      </c>
    </row>
    <row r="221" spans="1:14" x14ac:dyDescent="0.25">
      <c r="A221" s="205">
        <f t="shared" si="72"/>
        <v>2047</v>
      </c>
      <c r="B221" s="207">
        <f t="shared" ref="B221:N221" ca="1" si="107">IF($C100="","",IF($C100&lt;0,0,IF(AND($C100=1,start_time&lt;1),-(SUM(B174)*output_kgyear*$E100*percnt_var*start_time+SUM(B174)*output_kgyear*$E100*(1-start_time)),IF($C100&lt;=start_time,-SUM(B174)*output_kgyear*$E100*percnt_var,-SUM(B174)*output_kgyear*$E100))))</f>
        <v>-221457751.31352741</v>
      </c>
      <c r="C221" s="207">
        <f t="shared" ca="1" si="107"/>
        <v>0</v>
      </c>
      <c r="D221" s="207">
        <f t="shared" ca="1" si="107"/>
        <v>0</v>
      </c>
      <c r="E221" s="234">
        <f t="shared" ca="1" si="107"/>
        <v>0</v>
      </c>
      <c r="F221" s="206">
        <f t="shared" ca="1" si="107"/>
        <v>-10017923.863009727</v>
      </c>
      <c r="G221" s="207">
        <f t="shared" ca="1" si="107"/>
        <v>0</v>
      </c>
      <c r="H221" s="207">
        <f t="shared" ca="1" si="107"/>
        <v>0</v>
      </c>
      <c r="I221" s="234">
        <f t="shared" ca="1" si="107"/>
        <v>0</v>
      </c>
      <c r="J221" s="601">
        <f t="shared" ca="1" si="107"/>
        <v>0</v>
      </c>
      <c r="K221" s="232">
        <f t="shared" ca="1" si="107"/>
        <v>0</v>
      </c>
      <c r="L221" s="232">
        <f t="shared" ca="1" si="107"/>
        <v>0</v>
      </c>
      <c r="M221" s="207">
        <f t="shared" ca="1" si="107"/>
        <v>0</v>
      </c>
      <c r="N221" s="235">
        <f t="shared" ca="1" si="107"/>
        <v>0</v>
      </c>
    </row>
    <row r="222" spans="1:14" x14ac:dyDescent="0.25">
      <c r="A222" s="205">
        <f t="shared" si="72"/>
        <v>2048</v>
      </c>
      <c r="B222" s="207">
        <f t="shared" ref="B222:N222" ca="1" si="108">IF($C101="","",IF($C101&lt;0,0,IF(AND($C101=1,start_time&lt;1),-(SUM(B175)*output_kgyear*$E101*percnt_var*start_time+SUM(B175)*output_kgyear*$E101*(1-start_time)),IF($C101&lt;=start_time,-SUM(B175)*output_kgyear*$E101*percnt_var,-SUM(B175)*output_kgyear*$E101))))</f>
        <v>-229801795.34197465</v>
      </c>
      <c r="C222" s="207">
        <f t="shared" ca="1" si="108"/>
        <v>0</v>
      </c>
      <c r="D222" s="207">
        <f t="shared" ca="1" si="108"/>
        <v>0</v>
      </c>
      <c r="E222" s="234">
        <f t="shared" ca="1" si="108"/>
        <v>0</v>
      </c>
      <c r="F222" s="206">
        <f t="shared" ca="1" si="108"/>
        <v>-10246129.666755818</v>
      </c>
      <c r="G222" s="207">
        <f t="shared" ca="1" si="108"/>
        <v>0</v>
      </c>
      <c r="H222" s="207">
        <f t="shared" ca="1" si="108"/>
        <v>0</v>
      </c>
      <c r="I222" s="234">
        <f t="shared" ca="1" si="108"/>
        <v>0</v>
      </c>
      <c r="J222" s="601">
        <f t="shared" ca="1" si="108"/>
        <v>0</v>
      </c>
      <c r="K222" s="232">
        <f t="shared" ca="1" si="108"/>
        <v>0</v>
      </c>
      <c r="L222" s="232">
        <f t="shared" ca="1" si="108"/>
        <v>0</v>
      </c>
      <c r="M222" s="207">
        <f t="shared" ca="1" si="108"/>
        <v>0</v>
      </c>
      <c r="N222" s="235">
        <f t="shared" ca="1" si="108"/>
        <v>0</v>
      </c>
    </row>
    <row r="223" spans="1:14" x14ac:dyDescent="0.25">
      <c r="A223" s="205">
        <f t="shared" si="72"/>
        <v>2049</v>
      </c>
      <c r="B223" s="207">
        <f t="shared" ref="B223:N223" ca="1" si="109">IF($C102="","",IF($C102&lt;0,0,IF(AND($C102=1,start_time&lt;1),-(SUM(B176)*output_kgyear*$E102*percnt_var*start_time+SUM(B176)*output_kgyear*$E102*(1-start_time)),IF($C102&lt;=start_time,-SUM(B176)*output_kgyear*$E102*percnt_var,-SUM(B176)*output_kgyear*$E102))))</f>
        <v>-235539452.28411597</v>
      </c>
      <c r="C223" s="207">
        <f t="shared" ca="1" si="109"/>
        <v>0</v>
      </c>
      <c r="D223" s="207">
        <f t="shared" ca="1" si="109"/>
        <v>0</v>
      </c>
      <c r="E223" s="234">
        <f t="shared" ca="1" si="109"/>
        <v>0</v>
      </c>
      <c r="F223" s="206">
        <f t="shared" ca="1" si="109"/>
        <v>-10474235.748145338</v>
      </c>
      <c r="G223" s="207">
        <f t="shared" ca="1" si="109"/>
        <v>0</v>
      </c>
      <c r="H223" s="207">
        <f t="shared" ca="1" si="109"/>
        <v>0</v>
      </c>
      <c r="I223" s="234">
        <f t="shared" ca="1" si="109"/>
        <v>0</v>
      </c>
      <c r="J223" s="601">
        <f t="shared" ca="1" si="109"/>
        <v>0</v>
      </c>
      <c r="K223" s="232">
        <f t="shared" ca="1" si="109"/>
        <v>0</v>
      </c>
      <c r="L223" s="232">
        <f t="shared" ca="1" si="109"/>
        <v>0</v>
      </c>
      <c r="M223" s="207">
        <f t="shared" ca="1" si="109"/>
        <v>0</v>
      </c>
      <c r="N223" s="235">
        <f t="shared" ca="1" si="109"/>
        <v>0</v>
      </c>
    </row>
    <row r="224" spans="1:14" x14ac:dyDescent="0.25">
      <c r="A224" s="205">
        <f t="shared" si="72"/>
        <v>2050</v>
      </c>
      <c r="B224" s="207">
        <f t="shared" ref="B224:N224" ca="1" si="110">IF($C103="","",IF($C103&lt;0,0,IF(AND($C103=1,start_time&lt;1),-(SUM(B177)*output_kgyear*$E103*percnt_var*start_time+SUM(B177)*output_kgyear*$E103*(1-start_time)),IF($C103&lt;=start_time,-SUM(B177)*output_kgyear*$E103*percnt_var,-SUM(B177)*output_kgyear*$E103))))</f>
        <v>-243053597.44952637</v>
      </c>
      <c r="C224" s="207">
        <f t="shared" ca="1" si="110"/>
        <v>0</v>
      </c>
      <c r="D224" s="207">
        <f t="shared" ca="1" si="110"/>
        <v>0</v>
      </c>
      <c r="E224" s="234">
        <f t="shared" ca="1" si="110"/>
        <v>0</v>
      </c>
      <c r="F224" s="206">
        <f t="shared" ca="1" si="110"/>
        <v>-10706271.233140333</v>
      </c>
      <c r="G224" s="207">
        <f t="shared" ca="1" si="110"/>
        <v>0</v>
      </c>
      <c r="H224" s="207">
        <f t="shared" ca="1" si="110"/>
        <v>0</v>
      </c>
      <c r="I224" s="234">
        <f t="shared" ca="1" si="110"/>
        <v>0</v>
      </c>
      <c r="J224" s="601">
        <f t="shared" ca="1" si="110"/>
        <v>0</v>
      </c>
      <c r="K224" s="232">
        <f t="shared" ca="1" si="110"/>
        <v>0</v>
      </c>
      <c r="L224" s="232">
        <f t="shared" ca="1" si="110"/>
        <v>0</v>
      </c>
      <c r="M224" s="207">
        <f t="shared" ca="1" si="110"/>
        <v>0</v>
      </c>
      <c r="N224" s="235">
        <f t="shared" ca="1" si="110"/>
        <v>0</v>
      </c>
    </row>
    <row r="225" spans="1:14" x14ac:dyDescent="0.25">
      <c r="A225" s="205">
        <f t="shared" si="72"/>
        <v>2051</v>
      </c>
      <c r="B225" s="207">
        <f t="shared" ref="B225:N225" ca="1" si="111">IF($C104="","",IF($C104&lt;0,0,IF(AND($C104=1,start_time&lt;1),-(SUM(B178)*output_kgyear*$E104*percnt_var*start_time+SUM(B178)*output_kgyear*$E104*(1-start_time)),IF($C104&lt;=start_time,-SUM(B178)*output_kgyear*$E104*percnt_var,-SUM(B178)*output_kgyear*$E104))))</f>
        <v>-249048506.85337523</v>
      </c>
      <c r="C225" s="207">
        <f t="shared" ca="1" si="111"/>
        <v>0</v>
      </c>
      <c r="D225" s="207">
        <f t="shared" ca="1" si="111"/>
        <v>0</v>
      </c>
      <c r="E225" s="234">
        <f t="shared" ca="1" si="111"/>
        <v>0</v>
      </c>
      <c r="F225" s="206">
        <f t="shared" ca="1" si="111"/>
        <v>-10919584.989232456</v>
      </c>
      <c r="G225" s="207">
        <f t="shared" ca="1" si="111"/>
        <v>0</v>
      </c>
      <c r="H225" s="207">
        <f t="shared" ca="1" si="111"/>
        <v>0</v>
      </c>
      <c r="I225" s="234">
        <f t="shared" ca="1" si="111"/>
        <v>0</v>
      </c>
      <c r="J225" s="601">
        <f t="shared" ca="1" si="111"/>
        <v>0</v>
      </c>
      <c r="K225" s="232">
        <f t="shared" ca="1" si="111"/>
        <v>0</v>
      </c>
      <c r="L225" s="232">
        <f t="shared" ca="1" si="111"/>
        <v>0</v>
      </c>
      <c r="M225" s="207">
        <f t="shared" ca="1" si="111"/>
        <v>0</v>
      </c>
      <c r="N225" s="235">
        <f t="shared" ca="1" si="111"/>
        <v>0</v>
      </c>
    </row>
    <row r="226" spans="1:14" x14ac:dyDescent="0.25">
      <c r="A226" s="205">
        <f t="shared" si="72"/>
        <v>2052</v>
      </c>
      <c r="B226" s="207">
        <f t="shared" ref="B226:N226" ca="1" si="112">IF($C105="","",IF($C105&lt;0,0,IF(AND($C105=1,start_time&lt;1),-(SUM(B179)*output_kgyear*$E105*percnt_var*start_time+SUM(B179)*output_kgyear*$E105*(1-start_time)),IF($C105&lt;=start_time,-SUM(B179)*output_kgyear*$E105*percnt_var,-SUM(B179)*output_kgyear*$E105))))</f>
        <v>-255191280.5107775</v>
      </c>
      <c r="C226" s="207">
        <f t="shared" ca="1" si="112"/>
        <v>0</v>
      </c>
      <c r="D226" s="207">
        <f t="shared" ca="1" si="112"/>
        <v>0</v>
      </c>
      <c r="E226" s="234">
        <f t="shared" ca="1" si="112"/>
        <v>0</v>
      </c>
      <c r="F226" s="206">
        <f t="shared" ca="1" si="112"/>
        <v>-11137148.848609583</v>
      </c>
      <c r="G226" s="207">
        <f t="shared" ca="1" si="112"/>
        <v>0</v>
      </c>
      <c r="H226" s="207">
        <f t="shared" ca="1" si="112"/>
        <v>0</v>
      </c>
      <c r="I226" s="234">
        <f t="shared" ca="1" si="112"/>
        <v>0</v>
      </c>
      <c r="J226" s="601">
        <f t="shared" ca="1" si="112"/>
        <v>0</v>
      </c>
      <c r="K226" s="232">
        <f t="shared" ca="1" si="112"/>
        <v>0</v>
      </c>
      <c r="L226" s="232">
        <f t="shared" ca="1" si="112"/>
        <v>0</v>
      </c>
      <c r="M226" s="207">
        <f t="shared" ca="1" si="112"/>
        <v>0</v>
      </c>
      <c r="N226" s="235">
        <f t="shared" ca="1" si="112"/>
        <v>0</v>
      </c>
    </row>
    <row r="227" spans="1:14" x14ac:dyDescent="0.25">
      <c r="A227" s="205">
        <f t="shared" si="72"/>
        <v>2053</v>
      </c>
      <c r="B227" s="207">
        <f t="shared" ref="B227:N227" ca="1" si="113">IF($C106="","",IF($C106&lt;0,0,IF(AND($C106=1,start_time&lt;1),-(SUM(B180)*output_kgyear*$E106*percnt_var*start_time+SUM(B180)*output_kgyear*$E106*(1-start_time)),IF($C106&lt;=start_time,-SUM(B180)*output_kgyear*$E106*percnt_var,-SUM(B180)*output_kgyear*$E106))))</f>
        <v>-261485565.48893747</v>
      </c>
      <c r="C227" s="207">
        <f t="shared" ca="1" si="113"/>
        <v>0</v>
      </c>
      <c r="D227" s="207">
        <f t="shared" ca="1" si="113"/>
        <v>0</v>
      </c>
      <c r="E227" s="234">
        <f t="shared" ca="1" si="113"/>
        <v>0</v>
      </c>
      <c r="F227" s="206">
        <f t="shared" ca="1" si="113"/>
        <v>-11359047.491126712</v>
      </c>
      <c r="G227" s="207">
        <f t="shared" ca="1" si="113"/>
        <v>0</v>
      </c>
      <c r="H227" s="207">
        <f t="shared" ca="1" si="113"/>
        <v>0</v>
      </c>
      <c r="I227" s="234">
        <f t="shared" ca="1" si="113"/>
        <v>0</v>
      </c>
      <c r="J227" s="601">
        <f t="shared" ca="1" si="113"/>
        <v>0</v>
      </c>
      <c r="K227" s="232">
        <f t="shared" ca="1" si="113"/>
        <v>0</v>
      </c>
      <c r="L227" s="232">
        <f t="shared" ca="1" si="113"/>
        <v>0</v>
      </c>
      <c r="M227" s="207">
        <f t="shared" ca="1" si="113"/>
        <v>0</v>
      </c>
      <c r="N227" s="235">
        <f t="shared" ca="1" si="113"/>
        <v>0</v>
      </c>
    </row>
    <row r="228" spans="1:14" x14ac:dyDescent="0.25">
      <c r="A228" s="205">
        <f t="shared" si="72"/>
        <v>2054</v>
      </c>
      <c r="B228" s="207">
        <f t="shared" ref="B228:N228" ca="1" si="114">IF($C107="","",IF($C107&lt;0,0,IF(AND($C107=1,start_time&lt;1),-(SUM(B181)*output_kgyear*$E107*percnt_var*start_time+SUM(B181)*output_kgyear*$E107*(1-start_time)),IF($C107&lt;=start_time,-SUM(B181)*output_kgyear*$E107*percnt_var,-SUM(B181)*output_kgyear*$E107))))</f>
        <v>-267935098.8098582</v>
      </c>
      <c r="C228" s="207">
        <f t="shared" ca="1" si="114"/>
        <v>0</v>
      </c>
      <c r="D228" s="207">
        <f t="shared" ca="1" si="114"/>
        <v>0</v>
      </c>
      <c r="E228" s="234">
        <f t="shared" ca="1" si="114"/>
        <v>0</v>
      </c>
      <c r="F228" s="206">
        <f t="shared" ca="1" si="114"/>
        <v>-11585367.283816136</v>
      </c>
      <c r="G228" s="207">
        <f t="shared" ca="1" si="114"/>
        <v>0</v>
      </c>
      <c r="H228" s="207">
        <f t="shared" ca="1" si="114"/>
        <v>0</v>
      </c>
      <c r="I228" s="234">
        <f t="shared" ca="1" si="114"/>
        <v>0</v>
      </c>
      <c r="J228" s="601">
        <f t="shared" ca="1" si="114"/>
        <v>0</v>
      </c>
      <c r="K228" s="232">
        <f t="shared" ca="1" si="114"/>
        <v>0</v>
      </c>
      <c r="L228" s="232">
        <f t="shared" ca="1" si="114"/>
        <v>0</v>
      </c>
      <c r="M228" s="207">
        <f t="shared" ca="1" si="114"/>
        <v>0</v>
      </c>
      <c r="N228" s="235">
        <f t="shared" ca="1" si="114"/>
        <v>0</v>
      </c>
    </row>
    <row r="229" spans="1:14" x14ac:dyDescent="0.25">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1" t="str">
        <f t="shared" si="115"/>
        <v/>
      </c>
      <c r="K229" s="232" t="str">
        <f t="shared" si="115"/>
        <v/>
      </c>
      <c r="L229" s="232" t="str">
        <f t="shared" si="115"/>
        <v/>
      </c>
      <c r="M229" s="207" t="str">
        <f t="shared" si="115"/>
        <v/>
      </c>
      <c r="N229" s="235" t="str">
        <f t="shared" si="115"/>
        <v/>
      </c>
    </row>
    <row r="231" spans="1:14" x14ac:dyDescent="0.25">
      <c r="A231" s="207" t="s">
        <v>1190</v>
      </c>
      <c r="B231" s="207">
        <f ca="1">+B186+NPV($X$59,B187:B228)</f>
        <v>-940066554.5410167</v>
      </c>
      <c r="C231" s="207">
        <f t="shared" ref="C231:N231" ca="1" si="116">+C186+NPV($X$59,C187:C228)</f>
        <v>0</v>
      </c>
      <c r="D231" s="207">
        <f t="shared" ca="1" si="116"/>
        <v>0</v>
      </c>
      <c r="E231" s="207">
        <f t="shared" ca="1" si="116"/>
        <v>0</v>
      </c>
      <c r="F231" s="207">
        <f t="shared" ca="1" si="116"/>
        <v>-48561247.792499423</v>
      </c>
      <c r="G231" s="207">
        <f t="shared" ca="1" si="116"/>
        <v>0</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5">
      <c r="A232" s="207" t="s">
        <v>1189</v>
      </c>
      <c r="B232" s="207">
        <f ca="1">-B231/$AE$116*(1+inflation_rate)^construct/INFLATION_FACTOR</f>
        <v>0.82763314128326659</v>
      </c>
      <c r="C232" s="207">
        <f t="shared" ref="C232:N232" ca="1" si="117">-C231/$AE$116*(1+inflation_rate)^construct/INFLATION_FACTOR</f>
        <v>0</v>
      </c>
      <c r="D232" s="207">
        <f t="shared" ca="1" si="117"/>
        <v>0</v>
      </c>
      <c r="E232" s="207">
        <f t="shared" ca="1" si="117"/>
        <v>0</v>
      </c>
      <c r="F232" s="207">
        <f ca="1">-F231/$AE$116*(1+inflation_rate)^construct/INFLATION_FACTOR</f>
        <v>4.2753247481253517E-2</v>
      </c>
      <c r="G232" s="207">
        <f t="shared" ca="1" si="117"/>
        <v>0</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5">
      <c r="A233" s="207" t="s">
        <v>1191</v>
      </c>
      <c r="B233" s="207">
        <f ca="1">IF(B132&gt;0,B232/B133*(1+inflation_rate)^construct,"")</f>
        <v>5.6045454960904868</v>
      </c>
      <c r="C233" s="207" t="str">
        <f t="shared" ref="C233:N233" si="118">IF(C132&gt;0,C232/C133*(1+inflation_rate)^construct,"")</f>
        <v/>
      </c>
      <c r="D233" s="207" t="str">
        <f t="shared" si="118"/>
        <v/>
      </c>
      <c r="E233" s="207" t="str">
        <f t="shared" si="118"/>
        <v/>
      </c>
      <c r="F233" s="207">
        <f t="shared" ca="1" si="118"/>
        <v>7.9502245341356123E-2</v>
      </c>
      <c r="G233" s="207" t="str">
        <f t="shared" si="118"/>
        <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5">
      <c r="A279" s="53" t="s">
        <v>193</v>
      </c>
    </row>
    <row r="280" spans="1:5" x14ac:dyDescent="0.25">
      <c r="A280" s="53" t="s">
        <v>1052</v>
      </c>
      <c r="B280" s="53" t="s">
        <v>637</v>
      </c>
      <c r="C280" s="53" t="s">
        <v>194</v>
      </c>
      <c r="D280" s="53" t="s">
        <v>195</v>
      </c>
      <c r="E280" s="53" t="s">
        <v>196</v>
      </c>
    </row>
    <row r="281" spans="1:5" x14ac:dyDescent="0.25">
      <c r="A281" s="53" t="str">
        <f>'HyARC Physical Property Data'!A76</f>
        <v>Commercial Electricity</v>
      </c>
      <c r="B281" s="53">
        <f ca="1">VLOOKUP(A281,MASTER_PROPERTY_TABLE,9,FALSE)</f>
        <v>3.5999999999999995E-3</v>
      </c>
      <c r="C281" s="53">
        <f ca="1">MATCH(startup_year,Feedstock_Year,0)</f>
        <v>19</v>
      </c>
      <c r="D281" s="53">
        <f ca="1">VLOOKUP(A281,FEEDPRICETABLE,C281,FALSE)</f>
        <v>29.932211922183079</v>
      </c>
      <c r="E281" s="53">
        <f ca="1">B281*D281</f>
        <v>0.10775596291985907</v>
      </c>
    </row>
    <row r="282" spans="1:5" x14ac:dyDescent="0.25">
      <c r="A282" s="53" t="str">
        <f>'HyARC Physical Property Data'!A77</f>
        <v>Industrial Electricity</v>
      </c>
      <c r="B282" s="53">
        <f ca="1">VLOOKUP(A282,MASTER_PROPERTY_TABLE,9,FALSE)</f>
        <v>3.5999999999999995E-3</v>
      </c>
      <c r="C282" s="53">
        <f ca="1">MATCH(startup_year,Feedstock_Year,0)+2</f>
        <v>21</v>
      </c>
      <c r="D282" s="53">
        <f ca="1">VLOOKUP(A282,FEEDPRICETABLE,C282,FALSE)</f>
        <v>19.537493744407882</v>
      </c>
      <c r="E282" s="53">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55" zoomScaleNormal="55" workbookViewId="0">
      <pane xSplit="1" ySplit="6" topLeftCell="B67" activePane="bottomRight" state="frozen"/>
      <selection pane="topRight" activeCell="B1" sqref="B1"/>
      <selection pane="bottomLeft" activeCell="A7" sqref="A7"/>
      <selection pane="bottomRight" activeCell="A142" sqref="A142:AF161"/>
    </sheetView>
  </sheetViews>
  <sheetFormatPr defaultRowHeight="12.5" x14ac:dyDescent="0.25"/>
  <cols>
    <col min="1" max="1" width="30.26953125" customWidth="1"/>
    <col min="2" max="2" width="18.81640625" customWidth="1"/>
    <col min="3" max="3" width="11.26953125" customWidth="1"/>
    <col min="5" max="5" width="12.7265625" customWidth="1"/>
    <col min="6" max="6" width="12.453125" customWidth="1"/>
    <col min="7" max="7" width="11.7265625" customWidth="1"/>
  </cols>
  <sheetData>
    <row r="3" spans="1:104" ht="13.5" thickBot="1" x14ac:dyDescent="0.35">
      <c r="BW3" s="1399" t="s">
        <v>1293</v>
      </c>
      <c r="BX3" s="1399"/>
      <c r="BY3" s="1399"/>
      <c r="BZ3" s="1399"/>
      <c r="CA3" s="1399"/>
      <c r="CB3" s="1399"/>
      <c r="CC3" s="1399"/>
      <c r="CD3" s="1399"/>
    </row>
    <row r="4" spans="1:104" ht="13.5" thickTop="1" x14ac:dyDescent="0.3">
      <c r="A4" s="867" t="s">
        <v>1117</v>
      </c>
      <c r="B4" s="868" t="str">
        <f>"Prices are in $(" &amp; ref_year&amp;")/GJ LHV"</f>
        <v>Prices are in $(2016)/GJ LHV</v>
      </c>
      <c r="C4" s="869"/>
      <c r="D4" s="869"/>
      <c r="E4" s="869"/>
      <c r="F4" s="869"/>
      <c r="G4" s="869"/>
      <c r="H4" s="869"/>
      <c r="I4" s="869"/>
      <c r="J4" s="869"/>
      <c r="K4" s="869"/>
      <c r="L4" s="869"/>
      <c r="M4" s="869"/>
      <c r="N4" s="869"/>
      <c r="O4" s="869"/>
      <c r="P4" s="869"/>
      <c r="Q4" s="869"/>
      <c r="R4" s="869"/>
      <c r="S4" s="869"/>
      <c r="T4" s="869"/>
      <c r="U4" s="869"/>
      <c r="V4" s="869"/>
      <c r="W4" s="869"/>
      <c r="X4" s="869"/>
      <c r="Y4" s="869"/>
      <c r="Z4" s="869"/>
      <c r="AA4" s="869"/>
      <c r="AB4" s="869"/>
      <c r="AC4" s="869"/>
      <c r="AD4" s="869"/>
      <c r="AE4" s="869"/>
      <c r="AF4" s="869"/>
      <c r="AG4" s="869"/>
      <c r="AH4" s="882" t="s">
        <v>772</v>
      </c>
      <c r="AI4" s="883"/>
      <c r="AJ4" s="883"/>
      <c r="AK4" s="883"/>
      <c r="AL4" s="883"/>
      <c r="AM4" s="883"/>
      <c r="AN4" s="883"/>
      <c r="AO4" s="883"/>
      <c r="AP4" s="883"/>
      <c r="AQ4" s="883"/>
      <c r="AR4" s="883"/>
      <c r="AS4" s="883"/>
      <c r="AT4" s="883"/>
      <c r="AU4" s="883"/>
      <c r="AV4" s="883"/>
      <c r="AW4" s="883"/>
      <c r="AX4" s="883"/>
      <c r="AY4" s="883"/>
      <c r="AZ4" s="883"/>
      <c r="BA4" s="883"/>
      <c r="BB4" s="883"/>
      <c r="BC4" s="883"/>
      <c r="BD4" s="883"/>
      <c r="BE4" s="883"/>
      <c r="BF4" s="883"/>
      <c r="BG4" s="883"/>
      <c r="BH4" s="883"/>
      <c r="BI4" s="883"/>
      <c r="BJ4" s="883"/>
      <c r="BK4" s="883"/>
      <c r="BL4" s="883"/>
      <c r="BM4" s="883"/>
      <c r="BN4" s="883"/>
      <c r="BO4" s="883"/>
      <c r="BP4" s="883"/>
      <c r="BQ4" s="883"/>
      <c r="BR4" s="883"/>
      <c r="BS4" s="883"/>
      <c r="BT4" s="883"/>
      <c r="BU4" s="883"/>
      <c r="BV4" s="884"/>
    </row>
    <row r="5" spans="1:104" ht="39.5" thickBot="1" x14ac:dyDescent="0.35">
      <c r="A5" s="887" t="s">
        <v>1084</v>
      </c>
      <c r="B5" s="888" t="s">
        <v>678</v>
      </c>
      <c r="C5" s="888" t="s">
        <v>679</v>
      </c>
      <c r="D5" s="888" t="s">
        <v>690</v>
      </c>
      <c r="E5" s="888" t="s">
        <v>691</v>
      </c>
      <c r="F5" s="889" t="s">
        <v>680</v>
      </c>
      <c r="G5" s="889" t="s">
        <v>692</v>
      </c>
      <c r="H5" s="889">
        <v>2004</v>
      </c>
      <c r="I5" s="889">
        <v>2005</v>
      </c>
      <c r="J5" s="889">
        <v>2006</v>
      </c>
      <c r="K5" s="889">
        <v>2007</v>
      </c>
      <c r="L5" s="889">
        <v>2008</v>
      </c>
      <c r="M5" s="889">
        <v>2009</v>
      </c>
      <c r="N5" s="889">
        <v>2010</v>
      </c>
      <c r="O5" s="889">
        <v>2011</v>
      </c>
      <c r="P5" s="889">
        <v>2012</v>
      </c>
      <c r="Q5" s="889">
        <v>2013</v>
      </c>
      <c r="R5" s="889">
        <v>2014</v>
      </c>
      <c r="S5" s="889">
        <v>2015</v>
      </c>
      <c r="T5" s="889">
        <v>2016</v>
      </c>
      <c r="U5" s="889">
        <v>2017</v>
      </c>
      <c r="V5" s="889">
        <v>2018</v>
      </c>
      <c r="W5" s="889">
        <v>2019</v>
      </c>
      <c r="X5" s="889">
        <v>2020</v>
      </c>
      <c r="Y5" s="889">
        <v>2021</v>
      </c>
      <c r="Z5" s="889">
        <v>2022</v>
      </c>
      <c r="AA5" s="889">
        <v>2023</v>
      </c>
      <c r="AB5" s="889">
        <v>2024</v>
      </c>
      <c r="AC5" s="889">
        <v>2025</v>
      </c>
      <c r="AD5" s="889">
        <v>2026</v>
      </c>
      <c r="AE5" s="889">
        <v>2027</v>
      </c>
      <c r="AF5" s="889">
        <v>2028</v>
      </c>
      <c r="AG5" s="889">
        <v>2029</v>
      </c>
      <c r="AH5" s="889">
        <v>2030</v>
      </c>
      <c r="AI5" s="889">
        <v>2031</v>
      </c>
      <c r="AJ5" s="889">
        <v>2032</v>
      </c>
      <c r="AK5" s="889">
        <v>2033</v>
      </c>
      <c r="AL5" s="889">
        <v>2034</v>
      </c>
      <c r="AM5" s="889">
        <v>2035</v>
      </c>
      <c r="AN5" s="889">
        <v>2036</v>
      </c>
      <c r="AO5" s="889">
        <v>2037</v>
      </c>
      <c r="AP5" s="889">
        <v>2038</v>
      </c>
      <c r="AQ5" s="889">
        <v>2039</v>
      </c>
      <c r="AR5" s="889">
        <v>2040</v>
      </c>
      <c r="AS5" s="889">
        <v>2041</v>
      </c>
      <c r="AT5" s="889">
        <v>2042</v>
      </c>
      <c r="AU5" s="889">
        <v>2043</v>
      </c>
      <c r="AV5" s="889">
        <v>2044</v>
      </c>
      <c r="AW5" s="889">
        <v>2045</v>
      </c>
      <c r="AX5" s="889">
        <v>2046</v>
      </c>
      <c r="AY5" s="889">
        <v>2047</v>
      </c>
      <c r="AZ5" s="889">
        <v>2048</v>
      </c>
      <c r="BA5" s="889">
        <v>2049</v>
      </c>
      <c r="BB5" s="889">
        <v>2050</v>
      </c>
      <c r="BC5" s="889">
        <v>2051</v>
      </c>
      <c r="BD5" s="889">
        <v>2052</v>
      </c>
      <c r="BE5" s="889">
        <v>2053</v>
      </c>
      <c r="BF5" s="889">
        <v>2054</v>
      </c>
      <c r="BG5" s="889">
        <v>2055</v>
      </c>
      <c r="BH5" s="889">
        <v>2056</v>
      </c>
      <c r="BI5" s="889">
        <v>2057</v>
      </c>
      <c r="BJ5" s="889">
        <v>2058</v>
      </c>
      <c r="BK5" s="889">
        <v>2059</v>
      </c>
      <c r="BL5" s="889">
        <v>2060</v>
      </c>
      <c r="BM5" s="889">
        <v>2061</v>
      </c>
      <c r="BN5" s="889">
        <v>2062</v>
      </c>
      <c r="BO5" s="889">
        <v>2063</v>
      </c>
      <c r="BP5" s="889">
        <v>2064</v>
      </c>
      <c r="BQ5" s="889">
        <v>2065</v>
      </c>
      <c r="BR5" s="889">
        <v>2066</v>
      </c>
      <c r="BS5" s="889">
        <v>2067</v>
      </c>
      <c r="BT5" s="889">
        <v>2068</v>
      </c>
      <c r="BU5" s="889">
        <v>2069</v>
      </c>
      <c r="BV5" s="890">
        <v>2070</v>
      </c>
      <c r="BW5" s="1399">
        <f t="shared" ref="BW5" si="0">+BV5+1</f>
        <v>2071</v>
      </c>
      <c r="BX5" s="1399">
        <f t="shared" ref="BX5" si="1">+BW5+1</f>
        <v>2072</v>
      </c>
      <c r="BY5" s="1399">
        <f t="shared" ref="BY5" si="2">+BX5+1</f>
        <v>2073</v>
      </c>
      <c r="BZ5" s="1399">
        <f t="shared" ref="BZ5" si="3">+BY5+1</f>
        <v>2074</v>
      </c>
      <c r="CA5" s="1399">
        <f t="shared" ref="CA5" si="4">+BZ5+1</f>
        <v>2075</v>
      </c>
      <c r="CB5" s="1399">
        <f t="shared" ref="CB5" si="5">+CA5+1</f>
        <v>2076</v>
      </c>
      <c r="CC5" s="1399">
        <f t="shared" ref="CC5" si="6">+CB5+1</f>
        <v>2077</v>
      </c>
      <c r="CD5" s="1399">
        <f t="shared" ref="CD5" si="7">+CC5+1</f>
        <v>2078</v>
      </c>
      <c r="CE5" s="1399">
        <f t="shared" ref="CE5" si="8">+CD5+1</f>
        <v>2079</v>
      </c>
      <c r="CF5" s="1399">
        <f t="shared" ref="CF5" si="9">+CE5+1</f>
        <v>2080</v>
      </c>
      <c r="CG5" s="1399">
        <f t="shared" ref="CG5" si="10">+CF5+1</f>
        <v>2081</v>
      </c>
      <c r="CH5" s="1399">
        <f t="shared" ref="CH5" si="11">+CG5+1</f>
        <v>2082</v>
      </c>
      <c r="CI5" s="1399">
        <f t="shared" ref="CI5" si="12">+CH5+1</f>
        <v>2083</v>
      </c>
      <c r="CJ5" s="1399">
        <f t="shared" ref="CJ5" si="13">+CI5+1</f>
        <v>2084</v>
      </c>
      <c r="CK5" s="1399">
        <f t="shared" ref="CK5" si="14">+CJ5+1</f>
        <v>2085</v>
      </c>
      <c r="CL5" s="1399">
        <f t="shared" ref="CL5" si="15">+CK5+1</f>
        <v>2086</v>
      </c>
      <c r="CM5" s="1399">
        <f t="shared" ref="CM5" si="16">+CL5+1</f>
        <v>2087</v>
      </c>
      <c r="CN5" s="1399">
        <f t="shared" ref="CN5" si="17">+CM5+1</f>
        <v>2088</v>
      </c>
      <c r="CO5" s="1399">
        <f t="shared" ref="CO5" si="18">+CN5+1</f>
        <v>2089</v>
      </c>
      <c r="CP5" s="1399">
        <f t="shared" ref="CP5" si="19">+CO5+1</f>
        <v>2090</v>
      </c>
      <c r="CQ5" s="1399">
        <f t="shared" ref="CQ5" si="20">+CP5+1</f>
        <v>2091</v>
      </c>
      <c r="CR5" s="1399">
        <f t="shared" ref="CR5" si="21">+CQ5+1</f>
        <v>2092</v>
      </c>
      <c r="CS5" s="1399">
        <f t="shared" ref="CS5" si="22">+CR5+1</f>
        <v>2093</v>
      </c>
      <c r="CT5" s="1399">
        <f t="shared" ref="CT5" si="23">+CS5+1</f>
        <v>2094</v>
      </c>
      <c r="CU5" s="1399">
        <f t="shared" ref="CU5" si="24">+CT5+1</f>
        <v>2095</v>
      </c>
      <c r="CV5" s="1399">
        <f t="shared" ref="CV5" si="25">+CU5+1</f>
        <v>2096</v>
      </c>
      <c r="CW5" s="1399">
        <f t="shared" ref="CW5" si="26">+CV5+1</f>
        <v>2097</v>
      </c>
      <c r="CX5" s="1399">
        <f t="shared" ref="CX5" si="27">+CW5+1</f>
        <v>2098</v>
      </c>
      <c r="CY5" s="1399">
        <f t="shared" ref="CY5" si="28">+CX5+1</f>
        <v>2099</v>
      </c>
      <c r="CZ5" s="1399">
        <f t="shared" ref="CZ5" si="29">+CY5+1</f>
        <v>2100</v>
      </c>
    </row>
    <row r="6" spans="1:104" ht="13" thickBot="1" x14ac:dyDescent="0.3">
      <c r="A6" s="958" t="s">
        <v>1090</v>
      </c>
      <c r="B6" s="959"/>
      <c r="C6" s="959"/>
      <c r="D6" s="959"/>
      <c r="E6" s="959"/>
      <c r="F6" s="871"/>
      <c r="G6" s="959"/>
      <c r="H6" s="959"/>
      <c r="I6" s="959"/>
      <c r="J6" s="959"/>
      <c r="K6" s="959"/>
      <c r="L6" s="959"/>
      <c r="M6" s="959"/>
      <c r="N6" s="959"/>
      <c r="O6" s="959"/>
      <c r="P6" s="959"/>
      <c r="Q6" s="959"/>
      <c r="R6" s="959"/>
      <c r="S6" s="959"/>
      <c r="T6" s="959"/>
      <c r="U6" s="959"/>
      <c r="V6" s="959"/>
      <c r="W6" s="959"/>
      <c r="X6" s="959"/>
      <c r="Y6" s="959"/>
      <c r="Z6" s="959"/>
      <c r="AA6" s="959"/>
      <c r="AB6" s="959"/>
      <c r="AC6" s="959"/>
      <c r="AD6" s="959"/>
      <c r="AE6" s="959"/>
      <c r="AF6" s="959"/>
      <c r="AG6" s="959"/>
      <c r="AH6" s="959"/>
      <c r="AI6" s="959"/>
      <c r="AJ6" s="959"/>
      <c r="AK6" s="959"/>
      <c r="AL6" s="959"/>
      <c r="AM6" s="959"/>
      <c r="AN6" s="959"/>
      <c r="AO6" s="959"/>
      <c r="AP6" s="959"/>
      <c r="AQ6" s="959"/>
      <c r="AR6" s="959"/>
      <c r="AS6" s="959"/>
      <c r="AT6" s="959"/>
      <c r="AU6" s="959"/>
      <c r="AV6" s="959"/>
      <c r="AW6" s="959"/>
      <c r="AX6" s="959"/>
      <c r="AY6" s="959"/>
      <c r="AZ6" s="959"/>
      <c r="BA6" s="959"/>
      <c r="BC6" s="959"/>
      <c r="BD6" s="959"/>
      <c r="BE6" s="959"/>
      <c r="BF6" s="959"/>
      <c r="BG6" s="959"/>
      <c r="BH6" s="959"/>
      <c r="BI6" s="959"/>
      <c r="BJ6" s="959"/>
      <c r="BK6" s="959"/>
      <c r="BL6" s="959"/>
      <c r="BM6" s="959"/>
      <c r="BN6" s="959"/>
      <c r="BO6" s="959"/>
      <c r="BP6" s="959"/>
      <c r="BR6" s="959"/>
      <c r="BS6" s="959"/>
      <c r="BT6" s="959"/>
      <c r="BU6" s="959"/>
    </row>
    <row r="7" spans="1:104" x14ac:dyDescent="0.25">
      <c r="A7" s="978" t="str">
        <f>'HyARC Physical Property Data'!A73</f>
        <v>Residential Natural Gas</v>
      </c>
      <c r="B7" s="959">
        <v>2007</v>
      </c>
      <c r="C7" s="960">
        <f>VLOOKUP(ref_year,DeflatorTable,2,FALSE)/VLOOKUP(B7,DeflatorTable,2,FALSE)</f>
        <v>1.1446359956438654</v>
      </c>
      <c r="D7" s="978" t="str">
        <f>'HyARC Physical Property Data'!H73</f>
        <v>mmBtu</v>
      </c>
      <c r="E7" s="960" t="s">
        <v>1058</v>
      </c>
      <c r="F7" s="959">
        <f>'HyARC Physical Property Data'!$E$6</f>
        <v>47.141269049911173</v>
      </c>
      <c r="G7" s="959">
        <f>'HyARC Physical Property Data'!$I$6</f>
        <v>52.224661236371581</v>
      </c>
      <c r="H7" s="959">
        <f>((13.7000589370728/(mmBTU_to_GJ))*($C$7))*($G$7/$F$7)</f>
        <v>16.46689578317423</v>
      </c>
      <c r="I7" s="959">
        <f>((13.7000589370728/(mmBTU_to_GJ))*($C$7))*($G$7/$F$7)</f>
        <v>16.46689578317423</v>
      </c>
      <c r="J7" s="959">
        <f>((13.7000589370728/(mmBTU_to_GJ))*($C$7))*($G$7/$F$7)</f>
        <v>16.46689578317423</v>
      </c>
      <c r="K7" s="959">
        <f>((12.6911582946777/(mmBTU_to_GJ))*($C$7))*($G$7/$F$7)</f>
        <v>15.254239559561855</v>
      </c>
      <c r="L7" s="959">
        <f>((12.9778490066528/(mmBTU_to_GJ))*($C$7))*($G$7/$F$7)</f>
        <v>15.59882976152975</v>
      </c>
      <c r="M7" s="959">
        <f>((10.7176141738892/(mmBTU_to_GJ))*($C$7))*($G$7/$F$7)</f>
        <v>12.882122365775233</v>
      </c>
      <c r="N7" s="959">
        <f>((11.192774772644/(mmBTU_to_GJ))*($C$7))*($G$7/$F$7)</f>
        <v>13.453245460639653</v>
      </c>
      <c r="O7" s="959">
        <f>((11.4872808456421/(mmBTU_to_GJ))*($C$7))*($G$7/$F$7)</f>
        <v>13.807229398507864</v>
      </c>
      <c r="P7" s="959">
        <f>((11.3991556167603/(mmBTU_to_GJ))*($C$7))*($G$7/$F$7)</f>
        <v>13.701306572443364</v>
      </c>
      <c r="Q7" s="959">
        <f>((11.3077983856201/(mmBTU_to_GJ))*($C$7))*($G$7/$F$7)</f>
        <v>13.591499015327374</v>
      </c>
      <c r="R7" s="959">
        <f>((11.2896461486816/(mmBTU_to_GJ))*($C$7))*($G$7/$F$7)</f>
        <v>13.569680788466401</v>
      </c>
      <c r="S7" s="959">
        <f>((11.3454151153564/(mmBTU_to_GJ))*($C$7))*($G$7/$F$7)</f>
        <v>13.636712745510335</v>
      </c>
      <c r="T7" s="959">
        <f>((11.5382986068726/(mmBTU_to_GJ))*($C$7))*($G$7/$F$7)</f>
        <v>13.868550606039326</v>
      </c>
      <c r="U7" s="959">
        <f>((11.7583208084106/(mmBTU_to_GJ))*($C$7))*($G$7/$F$7)</f>
        <v>14.133008056868725</v>
      </c>
      <c r="V7" s="959">
        <f>((11.9751005172729/(mmBTU_to_GJ))*($C$7))*($G$7/$F$7)</f>
        <v>14.393568167605377</v>
      </c>
      <c r="W7" s="959">
        <f>((12.23952293396/(mmBTU_to_GJ))*($C$7))*($G$7/$F$7)</f>
        <v>14.711392813347514</v>
      </c>
      <c r="X7" s="959">
        <f>((12.557071685791/(mmBTU_to_GJ))*($C$7))*($G$7/$F$7)</f>
        <v>15.093073083957748</v>
      </c>
      <c r="Y7" s="959">
        <f>((12.7957820892334/(mmBTU_to_GJ))*($C$7))*($G$7/$F$7)</f>
        <v>15.379992969040035</v>
      </c>
      <c r="Z7" s="959">
        <f>((12.8716516494751/(mmBTU_to_GJ))*($C$7))*($G$7/$F$7)</f>
        <v>15.471184995830123</v>
      </c>
      <c r="AA7" s="959">
        <f>((12.6602811813354/(mmBTU_to_GJ))*($C$7))*($G$7/$F$7)</f>
        <v>15.217126565389467</v>
      </c>
      <c r="AB7" s="959">
        <f>((12.6240320205688/(mmBTU_to_GJ))*($C$7))*($G$7/$F$7)</f>
        <v>15.173556595704456</v>
      </c>
      <c r="AC7" s="959">
        <f>((12.5992183685303/(mmBTU_to_GJ))*($C$7))*($G$7/$F$7)</f>
        <v>15.143731627505801</v>
      </c>
      <c r="AD7" s="959">
        <f>((12.7868556976318/(mmBTU_to_GJ))*($C$7))*($G$7/$F$7)</f>
        <v>15.369263821019688</v>
      </c>
      <c r="AE7" s="959">
        <f>((13.07555103302/(mmBTU_to_GJ))*($C$7))*($G$7/$F$7)</f>
        <v>15.716263496186178</v>
      </c>
      <c r="AF7" s="959">
        <f>((13.407883644104/(mmBTU_to_GJ))*($C$7))*($G$7/$F$7)</f>
        <v>16.115713345066876</v>
      </c>
      <c r="AG7" s="959">
        <f>((13.6725673675537/(mmBTU_to_GJ))*($C$7))*($G$7/$F$7)</f>
        <v>16.433852070569323</v>
      </c>
      <c r="AH7" s="959">
        <f>((13.9620389938354/(mmBTU_to_GJ))*($C$7))*($G$7/$F$7)</f>
        <v>16.781784814805029</v>
      </c>
      <c r="AI7" s="959">
        <f>($BB7-$AH7)/20+AH7</f>
        <v>16.924252919684925</v>
      </c>
      <c r="AJ7" s="959">
        <f t="shared" ref="AJ7:AY10" si="30">($BB7-$AH7)/20+AI7</f>
        <v>17.066721024564821</v>
      </c>
      <c r="AK7" s="959">
        <f t="shared" si="30"/>
        <v>17.209189129444717</v>
      </c>
      <c r="AL7" s="959">
        <f t="shared" si="30"/>
        <v>17.351657234324612</v>
      </c>
      <c r="AM7" s="959">
        <f t="shared" si="30"/>
        <v>17.494125339204508</v>
      </c>
      <c r="AN7" s="959">
        <f t="shared" si="30"/>
        <v>17.636593444084404</v>
      </c>
      <c r="AO7" s="959">
        <f t="shared" si="30"/>
        <v>17.7790615489643</v>
      </c>
      <c r="AP7" s="959">
        <f t="shared" si="30"/>
        <v>17.921529653844196</v>
      </c>
      <c r="AQ7" s="959">
        <f t="shared" si="30"/>
        <v>18.063997758724092</v>
      </c>
      <c r="AR7" s="959">
        <f t="shared" si="30"/>
        <v>18.206465863603988</v>
      </c>
      <c r="AS7" s="959">
        <f t="shared" si="30"/>
        <v>18.348933968483884</v>
      </c>
      <c r="AT7" s="959">
        <f t="shared" si="30"/>
        <v>18.49140207336378</v>
      </c>
      <c r="AU7" s="959">
        <f t="shared" si="30"/>
        <v>18.633870178243676</v>
      </c>
      <c r="AV7" s="959">
        <f t="shared" si="30"/>
        <v>18.776338283123572</v>
      </c>
      <c r="AW7" s="959">
        <f t="shared" si="30"/>
        <v>18.918806388003468</v>
      </c>
      <c r="AX7" s="959">
        <f t="shared" si="30"/>
        <v>19.061274492883364</v>
      </c>
      <c r="AY7" s="959">
        <f t="shared" si="30"/>
        <v>19.203742597763259</v>
      </c>
      <c r="AZ7" s="959">
        <f t="shared" ref="AY7:BA10" si="31">($BB7-$AH7)/20+AY7</f>
        <v>19.346210702643155</v>
      </c>
      <c r="BA7" s="959">
        <f t="shared" si="31"/>
        <v>19.488678807523051</v>
      </c>
      <c r="BB7" s="1077">
        <f>1.16978897829057*AH7</f>
        <v>19.631146912402976</v>
      </c>
      <c r="BC7" s="959">
        <f>($BQ7-$BB7)/15+BB7</f>
        <v>19.82552968566489</v>
      </c>
      <c r="BD7" s="959">
        <f t="shared" ref="BD7:BP7" si="32">($BQ7-$BB7)/15+BC7</f>
        <v>20.019912458926804</v>
      </c>
      <c r="BE7" s="959">
        <f t="shared" si="32"/>
        <v>20.214295232188718</v>
      </c>
      <c r="BF7" s="959">
        <f t="shared" si="32"/>
        <v>20.408678005450632</v>
      </c>
      <c r="BG7" s="959">
        <f t="shared" si="32"/>
        <v>20.603060778712546</v>
      </c>
      <c r="BH7" s="959">
        <f t="shared" si="32"/>
        <v>20.79744355197446</v>
      </c>
      <c r="BI7" s="959">
        <f t="shared" si="32"/>
        <v>20.991826325236374</v>
      </c>
      <c r="BJ7" s="959">
        <f t="shared" si="32"/>
        <v>21.186209098498288</v>
      </c>
      <c r="BK7" s="959">
        <f t="shared" si="32"/>
        <v>21.380591871760203</v>
      </c>
      <c r="BL7" s="959">
        <f t="shared" si="32"/>
        <v>21.574974645022117</v>
      </c>
      <c r="BM7" s="959">
        <f t="shared" si="32"/>
        <v>21.769357418284031</v>
      </c>
      <c r="BN7" s="959">
        <f t="shared" si="32"/>
        <v>21.963740191545945</v>
      </c>
      <c r="BO7" s="959">
        <f t="shared" si="32"/>
        <v>22.158122964807859</v>
      </c>
      <c r="BP7" s="959">
        <f t="shared" si="32"/>
        <v>22.352505738069773</v>
      </c>
      <c r="BQ7" s="1077">
        <f>1.14852629914794*BB7</f>
        <v>22.546888511331698</v>
      </c>
      <c r="BR7" s="959">
        <f>($BV7-$BQ7)/5+BQ7</f>
        <v>22.770142238524333</v>
      </c>
      <c r="BS7" s="959">
        <f>($BV7-$BQ7)/5+BR7</f>
        <v>22.993395965716967</v>
      </c>
      <c r="BT7" s="959">
        <f>($BV7-$BQ7)/5+BS7</f>
        <v>23.216649692909602</v>
      </c>
      <c r="BU7" s="959">
        <f>($BV7-$BQ7)/5+BT7</f>
        <v>23.439903420102237</v>
      </c>
      <c r="BV7" s="1078">
        <f>1.04950876638265*BQ7</f>
        <v>23.663157147294871</v>
      </c>
      <c r="BW7" s="1398">
        <f>+BV7*BW$133/BV$133</f>
        <v>23.741725786947789</v>
      </c>
      <c r="BX7" s="1398">
        <f t="shared" ref="BX7:CZ7" si="33">+BW7*BX$133/BW$133</f>
        <v>23.820555297586708</v>
      </c>
      <c r="BY7" s="1398">
        <f t="shared" si="33"/>
        <v>23.899646545380008</v>
      </c>
      <c r="BZ7" s="1398">
        <f t="shared" si="33"/>
        <v>23.979000399372005</v>
      </c>
      <c r="CA7" s="1398">
        <f t="shared" si="33"/>
        <v>24.058617731492493</v>
      </c>
      <c r="CB7" s="1398">
        <f t="shared" si="33"/>
        <v>24.109957095304743</v>
      </c>
      <c r="CC7" s="1398">
        <f t="shared" si="33"/>
        <v>24.1614060136353</v>
      </c>
      <c r="CD7" s="1398">
        <f t="shared" si="33"/>
        <v>24.212964720265646</v>
      </c>
      <c r="CE7" s="1398">
        <f t="shared" si="33"/>
        <v>24.264633449476126</v>
      </c>
      <c r="CF7" s="1398">
        <f t="shared" si="33"/>
        <v>24.316412436047038</v>
      </c>
      <c r="CG7" s="1398">
        <f t="shared" si="33"/>
        <v>24.333224744531737</v>
      </c>
      <c r="CH7" s="1398">
        <f t="shared" si="33"/>
        <v>24.350048677005677</v>
      </c>
      <c r="CI7" s="1398">
        <f t="shared" si="33"/>
        <v>24.366884241505659</v>
      </c>
      <c r="CJ7" s="1398">
        <f t="shared" si="33"/>
        <v>24.383731446074034</v>
      </c>
      <c r="CK7" s="1398">
        <f t="shared" si="33"/>
        <v>24.400590298758722</v>
      </c>
      <c r="CL7" s="1398">
        <f t="shared" si="33"/>
        <v>24.406304701449077</v>
      </c>
      <c r="CM7" s="1398">
        <f t="shared" si="33"/>
        <v>24.41202044240206</v>
      </c>
      <c r="CN7" s="1398">
        <f t="shared" si="33"/>
        <v>24.41773752193108</v>
      </c>
      <c r="CO7" s="1398">
        <f t="shared" si="33"/>
        <v>24.423455940349619</v>
      </c>
      <c r="CP7" s="1398">
        <f t="shared" si="33"/>
        <v>24.429175697971235</v>
      </c>
      <c r="CQ7" s="1398">
        <f t="shared" si="33"/>
        <v>24.437844539812179</v>
      </c>
      <c r="CR7" s="1398">
        <f t="shared" si="33"/>
        <v>24.446516457844467</v>
      </c>
      <c r="CS7" s="1398">
        <f t="shared" si="33"/>
        <v>24.455191453159703</v>
      </c>
      <c r="CT7" s="1398">
        <f t="shared" si="33"/>
        <v>24.463869526849884</v>
      </c>
      <c r="CU7" s="1398">
        <f t="shared" si="33"/>
        <v>24.472550680007387</v>
      </c>
      <c r="CV7" s="1398">
        <f t="shared" si="33"/>
        <v>24.485911011470357</v>
      </c>
      <c r="CW7" s="1398">
        <f t="shared" si="33"/>
        <v>24.499278636756479</v>
      </c>
      <c r="CX7" s="1398">
        <f t="shared" si="33"/>
        <v>24.512653559847685</v>
      </c>
      <c r="CY7" s="1398">
        <f t="shared" si="33"/>
        <v>24.526035784728073</v>
      </c>
      <c r="CZ7" s="1398">
        <f t="shared" si="33"/>
        <v>24.539425315383912</v>
      </c>
    </row>
    <row r="8" spans="1:104" x14ac:dyDescent="0.25">
      <c r="A8" s="875" t="str">
        <f>'HyARC Physical Property Data'!A71</f>
        <v>Commercial Natural Gas</v>
      </c>
      <c r="B8" s="260">
        <v>2007</v>
      </c>
      <c r="C8" s="874">
        <f>VLOOKUP(ref_year,DeflatorTable,2,FALSE)/VLOOKUP(B8,DeflatorTable,2,FALSE)</f>
        <v>1.1446359956438654</v>
      </c>
      <c r="D8" s="875" t="str">
        <f>'HyARC Physical Property Data'!H71</f>
        <v>mmBtu</v>
      </c>
      <c r="E8" s="874" t="s">
        <v>1058</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76">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76">
        <f>1.14852629914794*BB8</f>
        <v>20.216294531146865</v>
      </c>
      <c r="BR8" s="260">
        <f t="shared" ref="BR8:BU10" si="35">($BV8-$BQ8)/5+BQ8</f>
        <v>20.416471291759944</v>
      </c>
      <c r="BS8" s="260">
        <f t="shared" si="35"/>
        <v>20.616648052373023</v>
      </c>
      <c r="BT8" s="260">
        <f t="shared" si="35"/>
        <v>20.816824812986102</v>
      </c>
      <c r="BU8" s="260">
        <f t="shared" si="35"/>
        <v>21.017001573599181</v>
      </c>
      <c r="BV8" s="1079">
        <f>1.04950876638265*BQ8</f>
        <v>21.217178334212257</v>
      </c>
      <c r="BW8" s="1398">
        <f>+BV8*BW$134/BV$134</f>
        <v>21.287625604989181</v>
      </c>
      <c r="BX8" s="1398">
        <f t="shared" ref="BX8:CZ8" si="36">+BW8*BX$134/BW$134</f>
        <v>21.358306781419426</v>
      </c>
      <c r="BY8" s="1398">
        <f t="shared" si="36"/>
        <v>21.429222640138541</v>
      </c>
      <c r="BZ8" s="1398">
        <f t="shared" si="36"/>
        <v>21.500373960360729</v>
      </c>
      <c r="CA8" s="1398">
        <f t="shared" si="36"/>
        <v>21.571761523887421</v>
      </c>
      <c r="CB8" s="1398">
        <f t="shared" si="36"/>
        <v>21.617794115007417</v>
      </c>
      <c r="CC8" s="1398">
        <f t="shared" si="36"/>
        <v>21.663924936373601</v>
      </c>
      <c r="CD8" s="1398">
        <f t="shared" si="36"/>
        <v>21.710154197602268</v>
      </c>
      <c r="CE8" s="1398">
        <f t="shared" si="36"/>
        <v>21.756482108757027</v>
      </c>
      <c r="CF8" s="1398">
        <f t="shared" si="36"/>
        <v>21.802908880349733</v>
      </c>
      <c r="CG8" s="1398">
        <f t="shared" si="36"/>
        <v>21.817983358582254</v>
      </c>
      <c r="CH8" s="1398">
        <f t="shared" si="36"/>
        <v>21.833068259272402</v>
      </c>
      <c r="CI8" s="1398">
        <f t="shared" si="36"/>
        <v>21.848163589626239</v>
      </c>
      <c r="CJ8" s="1398">
        <f t="shared" si="36"/>
        <v>21.863269356854815</v>
      </c>
      <c r="CK8" s="1398">
        <f t="shared" si="36"/>
        <v>21.878385568174153</v>
      </c>
      <c r="CL8" s="1398">
        <f t="shared" si="36"/>
        <v>21.883509292798049</v>
      </c>
      <c r="CM8" s="1398">
        <f t="shared" si="36"/>
        <v>21.888634217352987</v>
      </c>
      <c r="CN8" s="1398">
        <f t="shared" si="36"/>
        <v>21.893760342119982</v>
      </c>
      <c r="CO8" s="1398">
        <f t="shared" si="36"/>
        <v>21.898887667380112</v>
      </c>
      <c r="CP8" s="1398">
        <f t="shared" si="36"/>
        <v>21.904016193414524</v>
      </c>
      <c r="CQ8" s="1398">
        <f t="shared" si="36"/>
        <v>21.911788967019731</v>
      </c>
      <c r="CR8" s="1398">
        <f t="shared" si="36"/>
        <v>21.919564498841009</v>
      </c>
      <c r="CS8" s="1398">
        <f t="shared" si="36"/>
        <v>21.927342789857128</v>
      </c>
      <c r="CT8" s="1398">
        <f t="shared" si="36"/>
        <v>21.935123841047208</v>
      </c>
      <c r="CU8" s="1398">
        <f t="shared" si="36"/>
        <v>21.942907653390712</v>
      </c>
      <c r="CV8" s="1398">
        <f t="shared" si="36"/>
        <v>21.954886973541843</v>
      </c>
      <c r="CW8" s="1398">
        <f t="shared" si="36"/>
        <v>21.966872833578826</v>
      </c>
      <c r="CX8" s="1398">
        <f t="shared" si="36"/>
        <v>21.978865237071986</v>
      </c>
      <c r="CY8" s="1398">
        <f t="shared" si="36"/>
        <v>21.990864187593605</v>
      </c>
      <c r="CZ8" s="1398">
        <f t="shared" si="36"/>
        <v>22.002869688717904</v>
      </c>
    </row>
    <row r="9" spans="1:104" x14ac:dyDescent="0.25">
      <c r="A9" s="875" t="str">
        <f>'HyARC Physical Property Data'!A72</f>
        <v>Industrial Natural Gas</v>
      </c>
      <c r="B9" s="260">
        <v>2007</v>
      </c>
      <c r="C9" s="874">
        <f t="shared" ref="C9:C18" si="37">VLOOKUP(ref_year,DeflatorTable,2,FALSE)/VLOOKUP(B9,DeflatorTable,2,FALSE)</f>
        <v>1.1446359956438654</v>
      </c>
      <c r="D9" s="1260" t="str">
        <f>'HyARC Physical Property Data'!H72</f>
        <v>mmBtu</v>
      </c>
      <c r="E9" s="874" t="s">
        <v>1058</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76">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76">
        <f>1.14852629914794*BB9</f>
        <v>14.038959866915382</v>
      </c>
      <c r="BR9" s="260">
        <f t="shared" si="35"/>
        <v>14.177970183776685</v>
      </c>
      <c r="BS9" s="260">
        <f t="shared" si="35"/>
        <v>14.316980500637987</v>
      </c>
      <c r="BT9" s="260">
        <f t="shared" si="35"/>
        <v>14.455990817499289</v>
      </c>
      <c r="BU9" s="260">
        <f t="shared" si="35"/>
        <v>14.595001134360592</v>
      </c>
      <c r="BV9" s="1079">
        <f>1.04950876638265*BQ9</f>
        <v>14.734011451221894</v>
      </c>
      <c r="BW9" s="1398">
        <f>+BV9*BW$135/BV$135</f>
        <v>14.78293270163439</v>
      </c>
      <c r="BX9" s="1398">
        <f t="shared" ref="BX9:CZ9" si="38">+BW9*BX$135/BW$135</f>
        <v>14.832016384983078</v>
      </c>
      <c r="BY9" s="1398">
        <f t="shared" si="38"/>
        <v>14.881263040593069</v>
      </c>
      <c r="BZ9" s="1398">
        <f t="shared" si="38"/>
        <v>14.93067320958019</v>
      </c>
      <c r="CA9" s="1398">
        <f t="shared" si="38"/>
        <v>14.980247434856935</v>
      </c>
      <c r="CB9" s="1398">
        <f t="shared" si="38"/>
        <v>15.012214207912603</v>
      </c>
      <c r="CC9" s="1398">
        <f t="shared" si="38"/>
        <v>15.044249195768062</v>
      </c>
      <c r="CD9" s="1398">
        <f t="shared" si="38"/>
        <v>15.076352543988799</v>
      </c>
      <c r="CE9" s="1398">
        <f t="shared" si="38"/>
        <v>15.10852439845093</v>
      </c>
      <c r="CF9" s="1398">
        <f t="shared" si="38"/>
        <v>15.140764905341857</v>
      </c>
      <c r="CG9" s="1398">
        <f t="shared" si="38"/>
        <v>15.151233193414877</v>
      </c>
      <c r="CH9" s="1398">
        <f t="shared" si="38"/>
        <v>15.16170871923684</v>
      </c>
      <c r="CI9" s="1398">
        <f t="shared" si="38"/>
        <v>15.172191487811906</v>
      </c>
      <c r="CJ9" s="1398">
        <f t="shared" si="38"/>
        <v>15.182681504147698</v>
      </c>
      <c r="CK9" s="1398">
        <f t="shared" si="38"/>
        <v>15.193178773255301</v>
      </c>
      <c r="CL9" s="1398">
        <f t="shared" si="38"/>
        <v>15.196736881505712</v>
      </c>
      <c r="CM9" s="1398">
        <f t="shared" si="38"/>
        <v>15.200295823033644</v>
      </c>
      <c r="CN9" s="1398">
        <f t="shared" si="38"/>
        <v>15.20385559803424</v>
      </c>
      <c r="CO9" s="1398">
        <f t="shared" si="38"/>
        <v>15.207416206702694</v>
      </c>
      <c r="CP9" s="1398">
        <f t="shared" si="38"/>
        <v>15.210977649234243</v>
      </c>
      <c r="CQ9" s="1398">
        <f t="shared" si="38"/>
        <v>15.216375357332034</v>
      </c>
      <c r="CR9" s="1398">
        <f t="shared" si="38"/>
        <v>15.221774980839431</v>
      </c>
      <c r="CS9" s="1398">
        <f t="shared" si="38"/>
        <v>15.22717652043613</v>
      </c>
      <c r="CT9" s="1398">
        <f t="shared" si="38"/>
        <v>15.232579976802066</v>
      </c>
      <c r="CU9" s="1398">
        <f t="shared" si="38"/>
        <v>15.237985350617416</v>
      </c>
      <c r="CV9" s="1398">
        <f t="shared" si="38"/>
        <v>15.246304243804076</v>
      </c>
      <c r="CW9" s="1398">
        <f t="shared" si="38"/>
        <v>15.254627678534927</v>
      </c>
      <c r="CX9" s="1398">
        <f t="shared" si="38"/>
        <v>15.262955657289339</v>
      </c>
      <c r="CY9" s="1398">
        <f t="shared" si="38"/>
        <v>15.271288182548037</v>
      </c>
      <c r="CZ9" s="1398">
        <f t="shared" si="38"/>
        <v>15.279625256793102</v>
      </c>
    </row>
    <row r="10" spans="1:104" x14ac:dyDescent="0.25">
      <c r="A10" s="875" t="str">
        <f>'HyARC Physical Property Data'!A74</f>
        <v>Electric Utility Natural Gas</v>
      </c>
      <c r="B10" s="260">
        <v>2007</v>
      </c>
      <c r="C10" s="874">
        <f t="shared" si="37"/>
        <v>1.1446359956438654</v>
      </c>
      <c r="D10" s="1260" t="str">
        <f>'HyARC Physical Property Data'!H74</f>
        <v>mmBtu</v>
      </c>
      <c r="E10" s="874" t="s">
        <v>1058</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76">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76">
        <f>1.14852629914794*BB10</f>
        <v>13.467243108211756</v>
      </c>
      <c r="BR10" s="260">
        <f t="shared" si="35"/>
        <v>13.600592426784317</v>
      </c>
      <c r="BS10" s="260">
        <f t="shared" si="35"/>
        <v>13.733941745356878</v>
      </c>
      <c r="BT10" s="260">
        <f t="shared" si="35"/>
        <v>13.867291063929439</v>
      </c>
      <c r="BU10" s="260">
        <f t="shared" si="35"/>
        <v>14.000640382502</v>
      </c>
      <c r="BV10" s="1079">
        <f>1.04950876638265*BQ10</f>
        <v>14.133989701074563</v>
      </c>
      <c r="BW10" s="1398">
        <f>+BV10*BW$136/BV$136</f>
        <v>14.180918702845942</v>
      </c>
      <c r="BX10" s="1398">
        <f t="shared" ref="BX10:CZ10" si="39">+BW10*BX$136/BW$136</f>
        <v>14.22800352270222</v>
      </c>
      <c r="BY10" s="1398">
        <f t="shared" si="39"/>
        <v>14.275244678005262</v>
      </c>
      <c r="BZ10" s="1398">
        <f t="shared" si="39"/>
        <v>14.322642687834716</v>
      </c>
      <c r="CA10" s="1398">
        <f t="shared" si="39"/>
        <v>14.370198072993734</v>
      </c>
      <c r="CB10" s="1398">
        <f t="shared" si="39"/>
        <v>14.400863044487831</v>
      </c>
      <c r="CC10" s="1398">
        <f t="shared" si="39"/>
        <v>14.431593452830604</v>
      </c>
      <c r="CD10" s="1398">
        <f t="shared" si="39"/>
        <v>14.46238943765959</v>
      </c>
      <c r="CE10" s="1398">
        <f t="shared" si="39"/>
        <v>14.493251138910308</v>
      </c>
      <c r="CF10" s="1398">
        <f t="shared" si="39"/>
        <v>14.524178696816882</v>
      </c>
      <c r="CG10" s="1398">
        <f t="shared" si="39"/>
        <v>14.534220678683244</v>
      </c>
      <c r="CH10" s="1398">
        <f t="shared" si="39"/>
        <v>14.54426960355147</v>
      </c>
      <c r="CI10" s="1398">
        <f t="shared" si="39"/>
        <v>14.554325476221939</v>
      </c>
      <c r="CJ10" s="1398">
        <f t="shared" si="39"/>
        <v>14.564388301498344</v>
      </c>
      <c r="CK10" s="1398">
        <f t="shared" si="39"/>
        <v>14.574458084187699</v>
      </c>
      <c r="CL10" s="1398">
        <f t="shared" si="39"/>
        <v>14.577871293518578</v>
      </c>
      <c r="CM10" s="1398">
        <f t="shared" si="39"/>
        <v>14.581285302192933</v>
      </c>
      <c r="CN10" s="1398">
        <f t="shared" si="39"/>
        <v>14.584700110397959</v>
      </c>
      <c r="CO10" s="1398">
        <f t="shared" si="39"/>
        <v>14.5881157183209</v>
      </c>
      <c r="CP10" s="1398">
        <f t="shared" si="39"/>
        <v>14.591532126149042</v>
      </c>
      <c r="CQ10" s="1398">
        <f t="shared" si="39"/>
        <v>14.596710020228747</v>
      </c>
      <c r="CR10" s="1398">
        <f t="shared" si="39"/>
        <v>14.601889751715715</v>
      </c>
      <c r="CS10" s="1398">
        <f t="shared" si="39"/>
        <v>14.607071321261961</v>
      </c>
      <c r="CT10" s="1398">
        <f t="shared" si="39"/>
        <v>14.61225472951973</v>
      </c>
      <c r="CU10" s="1398">
        <f t="shared" si="39"/>
        <v>14.617439977141501</v>
      </c>
      <c r="CV10" s="1398">
        <f t="shared" si="39"/>
        <v>14.625420095184293</v>
      </c>
      <c r="CW10" s="1398">
        <f t="shared" si="39"/>
        <v>14.633404569823321</v>
      </c>
      <c r="CX10" s="1398">
        <f t="shared" si="39"/>
        <v>14.641393403436986</v>
      </c>
      <c r="CY10" s="1398">
        <f t="shared" si="39"/>
        <v>14.649386598404989</v>
      </c>
      <c r="CZ10" s="1398">
        <f t="shared" si="39"/>
        <v>14.65738415710833</v>
      </c>
    </row>
    <row r="11" spans="1:104" x14ac:dyDescent="0.25">
      <c r="A11" s="875" t="str">
        <f>'HyARC Physical Property Data'!A75</f>
        <v>Bio Methane</v>
      </c>
      <c r="B11" s="260">
        <v>2007</v>
      </c>
      <c r="C11" s="874">
        <f t="shared" si="37"/>
        <v>1.1446359956438654</v>
      </c>
      <c r="D11" s="1260" t="str">
        <f>'HyARC Physical Property Data'!H75</f>
        <v>mmBtu</v>
      </c>
      <c r="E11" s="874" t="s">
        <v>1058</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98">
        <f>+BV11*BW$136/BV$136</f>
        <v>14.271092726019944</v>
      </c>
      <c r="BX11" s="1398">
        <f t="shared" ref="BX11:CZ11" si="42">+BW11*BX$136/BW$136</f>
        <v>14.318476950147966</v>
      </c>
      <c r="BY11" s="1398">
        <f t="shared" si="42"/>
        <v>14.366018503832969</v>
      </c>
      <c r="BZ11" s="1398">
        <f t="shared" si="42"/>
        <v>14.413717909455341</v>
      </c>
      <c r="CA11" s="1398">
        <f t="shared" si="42"/>
        <v>14.461575691129934</v>
      </c>
      <c r="CB11" s="1398">
        <f t="shared" si="42"/>
        <v>14.49243565590395</v>
      </c>
      <c r="CC11" s="1398">
        <f t="shared" si="42"/>
        <v>14.523361473628309</v>
      </c>
      <c r="CD11" s="1398">
        <f t="shared" si="42"/>
        <v>14.554353284828478</v>
      </c>
      <c r="CE11" s="1398">
        <f t="shared" si="42"/>
        <v>14.585411230329802</v>
      </c>
      <c r="CF11" s="1398">
        <f t="shared" si="42"/>
        <v>14.616535451258134</v>
      </c>
      <c r="CG11" s="1398">
        <f t="shared" si="42"/>
        <v>14.626641288360148</v>
      </c>
      <c r="CH11" s="1398">
        <f t="shared" si="42"/>
        <v>14.636754112613382</v>
      </c>
      <c r="CI11" s="1398">
        <f t="shared" si="42"/>
        <v>14.646873928848736</v>
      </c>
      <c r="CJ11" s="1398">
        <f t="shared" si="42"/>
        <v>14.657000741900452</v>
      </c>
      <c r="CK11" s="1398">
        <f t="shared" si="42"/>
        <v>14.667134556606111</v>
      </c>
      <c r="CL11" s="1398">
        <f t="shared" si="42"/>
        <v>14.670569469948116</v>
      </c>
      <c r="CM11" s="1398">
        <f t="shared" si="42"/>
        <v>14.674005187716483</v>
      </c>
      <c r="CN11" s="1398">
        <f t="shared" si="42"/>
        <v>14.6774417100996</v>
      </c>
      <c r="CO11" s="1398">
        <f t="shared" si="42"/>
        <v>14.6808790372859</v>
      </c>
      <c r="CP11" s="1398">
        <f t="shared" si="42"/>
        <v>14.684317169463862</v>
      </c>
      <c r="CQ11" s="1398">
        <f t="shared" si="42"/>
        <v>14.689527988881515</v>
      </c>
      <c r="CR11" s="1398">
        <f t="shared" si="42"/>
        <v>14.69474065739019</v>
      </c>
      <c r="CS11" s="1398">
        <f t="shared" si="42"/>
        <v>14.699955175646044</v>
      </c>
      <c r="CT11" s="1398">
        <f t="shared" si="42"/>
        <v>14.705171544305472</v>
      </c>
      <c r="CU11" s="1398">
        <f t="shared" si="42"/>
        <v>14.710389764025104</v>
      </c>
      <c r="CV11" s="1398">
        <f t="shared" si="42"/>
        <v>14.718420626266095</v>
      </c>
      <c r="CW11" s="1398">
        <f t="shared" si="42"/>
        <v>14.726455872806168</v>
      </c>
      <c r="CX11" s="1398">
        <f t="shared" si="42"/>
        <v>14.734495506038849</v>
      </c>
      <c r="CY11" s="1398">
        <f t="shared" si="42"/>
        <v>14.74253952835897</v>
      </c>
      <c r="CZ11" s="1398">
        <f t="shared" si="42"/>
        <v>14.750587942162673</v>
      </c>
    </row>
    <row r="12" spans="1:104" x14ac:dyDescent="0.25">
      <c r="A12" s="964" t="str">
        <f>'HyARC Physical Property Data'!A85</f>
        <v>Woody Biomass</v>
      </c>
      <c r="B12" s="260">
        <v>2005</v>
      </c>
      <c r="C12" s="874">
        <f>VLOOKUP(ref_year,DeflatorTable,2,FALSE)/VLOOKUP(B12,DeflatorTable,2,FALSE)</f>
        <v>1.2112501494873942</v>
      </c>
      <c r="D12" s="1260" t="str">
        <f>+'HyARC Physical Property Data'!$H$85</f>
        <v>kg</v>
      </c>
      <c r="E12" s="901" t="s">
        <v>1052</v>
      </c>
      <c r="F12" s="260">
        <f>'HyARC Physical Property Data'!$E$45</f>
        <v>19.551069237418005</v>
      </c>
      <c r="G12" s="260">
        <f>'HyARC Physical Property Data'!$I$45</f>
        <v>20.588656379262464</v>
      </c>
      <c r="H12" s="965">
        <f t="shared" ref="H12:O12" si="43">1.27*($C$12)</f>
        <v>1.5382876898489906</v>
      </c>
      <c r="I12" s="965">
        <f t="shared" si="43"/>
        <v>1.5382876898489906</v>
      </c>
      <c r="J12" s="965">
        <f t="shared" si="43"/>
        <v>1.5382876898489906</v>
      </c>
      <c r="K12" s="965">
        <f t="shared" si="43"/>
        <v>1.5382876898489906</v>
      </c>
      <c r="L12" s="965">
        <f t="shared" si="43"/>
        <v>1.5382876898489906</v>
      </c>
      <c r="M12" s="965">
        <f t="shared" si="43"/>
        <v>1.5382876898489906</v>
      </c>
      <c r="N12" s="965">
        <f t="shared" si="43"/>
        <v>1.5382876898489906</v>
      </c>
      <c r="O12" s="965">
        <f t="shared" si="43"/>
        <v>1.5382876898489906</v>
      </c>
      <c r="P12" s="965">
        <f>1.28*($C$12)</f>
        <v>1.5504001913438645</v>
      </c>
      <c r="Q12" s="965">
        <f>1.32*($C$12)</f>
        <v>1.5988501973233604</v>
      </c>
      <c r="R12" s="965">
        <f>1.32*($C$12)</f>
        <v>1.5988501973233604</v>
      </c>
      <c r="S12" s="965">
        <f>1.34*($C$12)</f>
        <v>1.6230752003131084</v>
      </c>
      <c r="T12" s="965">
        <f>1.34*($C$12)</f>
        <v>1.6230752003131084</v>
      </c>
      <c r="U12" s="965">
        <f>1.36*($C$12)</f>
        <v>1.6473002033028561</v>
      </c>
      <c r="V12" s="965">
        <f>1.36*($C$12)</f>
        <v>1.6473002033028561</v>
      </c>
      <c r="W12" s="965">
        <f>1.38*($C$12)</f>
        <v>1.6715252062926038</v>
      </c>
      <c r="X12" s="965">
        <f>1.4*($C$12)</f>
        <v>1.6957502092823518</v>
      </c>
      <c r="Y12" s="965">
        <f>1.46*($C$12)</f>
        <v>1.7684252182515954</v>
      </c>
      <c r="Z12" s="965">
        <f>1.48*($C$12)</f>
        <v>1.7926502212413433</v>
      </c>
      <c r="AA12" s="965">
        <f>1.48*($C$12)</f>
        <v>1.7926502212413433</v>
      </c>
      <c r="AB12" s="965">
        <f>1.51*($C$12)</f>
        <v>1.8289877257259652</v>
      </c>
      <c r="AC12" s="965">
        <f>1.52*($C$12)</f>
        <v>1.8411002272208392</v>
      </c>
      <c r="AD12" s="965">
        <f>1.62*($C$12)</f>
        <v>1.9622252421695787</v>
      </c>
      <c r="AE12" s="965">
        <f>1.72*($C$12)</f>
        <v>2.083350257118318</v>
      </c>
      <c r="AF12" s="965">
        <f>1.82*($C$12)</f>
        <v>2.2044752720670573</v>
      </c>
      <c r="AG12" s="965">
        <f>1.91*($C$12)</f>
        <v>2.3134877855209228</v>
      </c>
      <c r="AH12" s="965">
        <f>2.01*($C$12)</f>
        <v>2.4346128004696621</v>
      </c>
      <c r="AI12" s="965">
        <f>2.11*($C$12)</f>
        <v>2.5557378154184014</v>
      </c>
      <c r="AJ12" s="965">
        <f>2.2*($C$12)</f>
        <v>2.6647503288722674</v>
      </c>
      <c r="AK12" s="965">
        <f>2.3*($C$12)</f>
        <v>2.7858753438210062</v>
      </c>
      <c r="AL12" s="965">
        <f>2.4*($C$12)</f>
        <v>2.9070003587697459</v>
      </c>
      <c r="AM12" s="965">
        <f>2.5*($C$12)</f>
        <v>3.0281253737184857</v>
      </c>
      <c r="AN12" s="965">
        <f>2.57*($C$12)</f>
        <v>3.1129128841826028</v>
      </c>
      <c r="AO12" s="965">
        <f>2.64*($C$12)</f>
        <v>3.1977003946467208</v>
      </c>
      <c r="AP12" s="965">
        <f>2.71*($C$12)</f>
        <v>3.282487905110838</v>
      </c>
      <c r="AQ12" s="965">
        <f>2.78*($C$12)</f>
        <v>3.3672754155749556</v>
      </c>
      <c r="AR12" s="965">
        <f>2.85*($C$12)</f>
        <v>3.4520629260390736</v>
      </c>
      <c r="AS12" s="965">
        <f>2.92*($C$12)</f>
        <v>3.5368504365031908</v>
      </c>
      <c r="AT12" s="965">
        <f>2.99*($C$12)</f>
        <v>3.6216379469673088</v>
      </c>
      <c r="AU12" s="965">
        <f>3.07*($C$12)</f>
        <v>3.7185379589263001</v>
      </c>
      <c r="AV12" s="965">
        <f>3.14*($C$12)</f>
        <v>3.8033254693904177</v>
      </c>
      <c r="AW12" s="965">
        <f>3.21*($C$12)</f>
        <v>3.8881129798545353</v>
      </c>
      <c r="AX12" s="965">
        <f>3.28*($C$12)</f>
        <v>3.9729004903186529</v>
      </c>
      <c r="AY12" s="965">
        <f>3.35*($C$12)</f>
        <v>4.0576880007827709</v>
      </c>
      <c r="AZ12" s="965">
        <f>3.42*($C$12)</f>
        <v>4.1424755112468876</v>
      </c>
      <c r="BA12" s="965">
        <f>3.49*($C$12)</f>
        <v>4.2272630217110061</v>
      </c>
      <c r="BB12" s="965">
        <f>3.56*($C$12)</f>
        <v>4.3120505321751237</v>
      </c>
      <c r="BC12" s="965">
        <f>3.64*($C$12)</f>
        <v>4.4089505441341146</v>
      </c>
      <c r="BD12" s="965">
        <f>3.71*($C$12)</f>
        <v>4.4937380545982322</v>
      </c>
      <c r="BE12" s="965">
        <f>3.78*($C$12)</f>
        <v>4.5785255650623498</v>
      </c>
      <c r="BF12" s="965">
        <f>3.85*($C$12)</f>
        <v>4.6633130755264673</v>
      </c>
      <c r="BG12" s="965">
        <f>3.92*($C$12)</f>
        <v>4.7481005859905849</v>
      </c>
      <c r="BH12" s="965">
        <f>3.99*($C$12)</f>
        <v>4.8328880964547034</v>
      </c>
      <c r="BI12" s="965">
        <f>4.06*($C$12)</f>
        <v>4.9176756069188201</v>
      </c>
      <c r="BJ12" s="965">
        <f>4.14*($C$12)</f>
        <v>5.0145756188778119</v>
      </c>
      <c r="BK12" s="965">
        <f>4.21*($C$12)</f>
        <v>5.0993631293419295</v>
      </c>
      <c r="BL12" s="965">
        <f>4.28*($C$12)</f>
        <v>5.1841506398060471</v>
      </c>
      <c r="BM12" s="965">
        <f>4.35*($C$12)</f>
        <v>5.2689381502701647</v>
      </c>
      <c r="BN12" s="965">
        <f>4.42*($C$12)</f>
        <v>5.3537256607342822</v>
      </c>
      <c r="BO12" s="965">
        <f>4.49*($C$12)</f>
        <v>5.4385131711983998</v>
      </c>
      <c r="BP12" s="965">
        <f>4.56*($C$12)</f>
        <v>5.5233006816625174</v>
      </c>
      <c r="BQ12" s="965">
        <f>4.63*($C$12)</f>
        <v>5.608088192126635</v>
      </c>
      <c r="BR12" s="965">
        <f>4.71*($C$12)</f>
        <v>5.7049882040856268</v>
      </c>
      <c r="BS12" s="965">
        <f>4.78*($C$12)</f>
        <v>5.7897757145497444</v>
      </c>
      <c r="BT12" s="965">
        <f>4.85*($C$12)</f>
        <v>5.8745632250138611</v>
      </c>
      <c r="BU12" s="965">
        <f>4.92*($C$12)</f>
        <v>5.9593507354779796</v>
      </c>
      <c r="BV12" s="966">
        <f>4.99*($C$12)</f>
        <v>6.0441382459420971</v>
      </c>
      <c r="BW12" s="1398">
        <f>+BV12*BW$137/BV$137</f>
        <v>6.0586659764672328</v>
      </c>
      <c r="BX12" s="1398">
        <f t="shared" ref="BX12:CZ12" si="44">+BW12*BX$137/BW$137</f>
        <v>6.0732286259412112</v>
      </c>
      <c r="BY12" s="1398">
        <f t="shared" si="44"/>
        <v>6.0878262782954495</v>
      </c>
      <c r="BZ12" s="1398">
        <f t="shared" si="44"/>
        <v>6.1024590176630999</v>
      </c>
      <c r="CA12" s="1398">
        <f t="shared" si="44"/>
        <v>6.1171269283795393</v>
      </c>
      <c r="CB12" s="1398">
        <f t="shared" si="44"/>
        <v>6.1299667153690152</v>
      </c>
      <c r="CC12" s="1398">
        <f t="shared" si="44"/>
        <v>6.1428334529403346</v>
      </c>
      <c r="CD12" s="1398">
        <f t="shared" si="44"/>
        <v>6.155727197662495</v>
      </c>
      <c r="CE12" s="1398">
        <f t="shared" si="44"/>
        <v>6.1686480062232301</v>
      </c>
      <c r="CF12" s="1398">
        <f t="shared" si="44"/>
        <v>6.18159593542926</v>
      </c>
      <c r="CG12" s="1398">
        <f t="shared" si="44"/>
        <v>6.197524392005751</v>
      </c>
      <c r="CH12" s="1398">
        <f t="shared" si="44"/>
        <v>6.2134938923080965</v>
      </c>
      <c r="CI12" s="1398">
        <f t="shared" si="44"/>
        <v>6.229504542095909</v>
      </c>
      <c r="CJ12" s="1398">
        <f t="shared" si="44"/>
        <v>6.245556447401321</v>
      </c>
      <c r="CK12" s="1398">
        <f t="shared" si="44"/>
        <v>6.2616497145296828</v>
      </c>
      <c r="CL12" s="1398">
        <f t="shared" si="44"/>
        <v>6.2750522655841658</v>
      </c>
      <c r="CM12" s="1398">
        <f t="shared" si="44"/>
        <v>6.2884835037072264</v>
      </c>
      <c r="CN12" s="1398">
        <f t="shared" si="44"/>
        <v>6.3019434903011975</v>
      </c>
      <c r="CO12" s="1398">
        <f t="shared" si="44"/>
        <v>6.3154322868998385</v>
      </c>
      <c r="CP12" s="1398">
        <f t="shared" si="44"/>
        <v>6.3289499551686168</v>
      </c>
      <c r="CQ12" s="1398">
        <f t="shared" si="44"/>
        <v>6.3413225489579119</v>
      </c>
      <c r="CR12" s="1398">
        <f t="shared" si="44"/>
        <v>6.3537193301840116</v>
      </c>
      <c r="CS12" s="1398">
        <f t="shared" si="44"/>
        <v>6.3661403461314299</v>
      </c>
      <c r="CT12" s="1398">
        <f t="shared" si="44"/>
        <v>6.3785856441771198</v>
      </c>
      <c r="CU12" s="1398">
        <f t="shared" si="44"/>
        <v>6.3910552717906537</v>
      </c>
      <c r="CV12" s="1398">
        <f t="shared" si="44"/>
        <v>6.4057772391562917</v>
      </c>
      <c r="CW12" s="1398">
        <f t="shared" si="44"/>
        <v>6.4205331189689208</v>
      </c>
      <c r="CX12" s="1398">
        <f t="shared" si="44"/>
        <v>6.4353229893467718</v>
      </c>
      <c r="CY12" s="1398">
        <f t="shared" si="44"/>
        <v>6.4501469285880244</v>
      </c>
      <c r="CZ12" s="1398">
        <f t="shared" si="44"/>
        <v>6.4650050151712186</v>
      </c>
    </row>
    <row r="13" spans="1:104" x14ac:dyDescent="0.25">
      <c r="A13" s="964" t="str">
        <f>'HyARC Physical Property Data'!A86</f>
        <v>Woody Biomass B2A</v>
      </c>
      <c r="B13" s="260">
        <v>2007</v>
      </c>
      <c r="C13" s="874">
        <f>VLOOKUP(ref_year,DeflatorTable,2,FALSE)/VLOOKUP(B13,DeflatorTable,2,FALSE)</f>
        <v>1.1446359956438654</v>
      </c>
      <c r="D13" s="1260" t="str">
        <f>+'HyARC Physical Property Data'!$H$86</f>
        <v>kg</v>
      </c>
      <c r="E13" s="901" t="s">
        <v>1052</v>
      </c>
      <c r="F13" s="260">
        <f>'HyARC Physical Property Data'!$E$45</f>
        <v>19.551069237418005</v>
      </c>
      <c r="G13" s="260">
        <f>'HyARC Physical Property Data'!$I$45</f>
        <v>20.588656379262464</v>
      </c>
      <c r="H13" s="965">
        <f>3.80872262322035*($C$13)</f>
        <v>4.3596010119611401</v>
      </c>
      <c r="I13" s="965">
        <f>3.80872262322035*($C$13)</f>
        <v>4.3596010119611401</v>
      </c>
      <c r="J13" s="965">
        <f>3.80872262322035*($C$13)</f>
        <v>4.3596010119611401</v>
      </c>
      <c r="K13" s="965">
        <f>3.80872262322035*($C$13)</f>
        <v>4.3596010119611401</v>
      </c>
      <c r="L13" s="965">
        <f>3.58036841709093*($C$13)</f>
        <v>4.0982185678687273</v>
      </c>
      <c r="M13" s="965">
        <f>3.28153451771169*($C$13)</f>
        <v>3.756162529920632</v>
      </c>
      <c r="N13" s="965">
        <f>3.05599949931226*($C$13)</f>
        <v>3.498007029582443</v>
      </c>
      <c r="O13" s="965">
        <f>2.9206784882726*($C$13)</f>
        <v>3.3431137293795268</v>
      </c>
      <c r="P13" s="965">
        <f t="shared" ref="P13:BV13" si="45">2.85865635821276*($C$13)</f>
        <v>3.2721209667865292</v>
      </c>
      <c r="Q13" s="965">
        <f t="shared" si="45"/>
        <v>3.2721209667865292</v>
      </c>
      <c r="R13" s="965">
        <f t="shared" si="45"/>
        <v>3.2721209667865292</v>
      </c>
      <c r="S13" s="965">
        <f t="shared" si="45"/>
        <v>3.2721209667865292</v>
      </c>
      <c r="T13" s="965">
        <f t="shared" si="45"/>
        <v>3.2721209667865292</v>
      </c>
      <c r="U13" s="965">
        <f t="shared" si="45"/>
        <v>3.2721209667865292</v>
      </c>
      <c r="V13" s="965">
        <f t="shared" si="45"/>
        <v>3.2721209667865292</v>
      </c>
      <c r="W13" s="965">
        <f t="shared" si="45"/>
        <v>3.2721209667865292</v>
      </c>
      <c r="X13" s="965">
        <f t="shared" si="45"/>
        <v>3.2721209667865292</v>
      </c>
      <c r="Y13" s="965">
        <f t="shared" si="45"/>
        <v>3.2721209667865292</v>
      </c>
      <c r="Z13" s="965">
        <f t="shared" si="45"/>
        <v>3.2721209667865292</v>
      </c>
      <c r="AA13" s="965">
        <f t="shared" si="45"/>
        <v>3.2721209667865292</v>
      </c>
      <c r="AB13" s="965">
        <f t="shared" si="45"/>
        <v>3.2721209667865292</v>
      </c>
      <c r="AC13" s="965">
        <f t="shared" si="45"/>
        <v>3.2721209667865292</v>
      </c>
      <c r="AD13" s="965">
        <f t="shared" si="45"/>
        <v>3.2721209667865292</v>
      </c>
      <c r="AE13" s="965">
        <f t="shared" si="45"/>
        <v>3.2721209667865292</v>
      </c>
      <c r="AF13" s="965">
        <f t="shared" si="45"/>
        <v>3.2721209667865292</v>
      </c>
      <c r="AG13" s="965">
        <f t="shared" si="45"/>
        <v>3.2721209667865292</v>
      </c>
      <c r="AH13" s="965">
        <f t="shared" si="45"/>
        <v>3.2721209667865292</v>
      </c>
      <c r="AI13" s="965">
        <f t="shared" si="45"/>
        <v>3.2721209667865292</v>
      </c>
      <c r="AJ13" s="965">
        <f t="shared" si="45"/>
        <v>3.2721209667865292</v>
      </c>
      <c r="AK13" s="965">
        <f t="shared" si="45"/>
        <v>3.2721209667865292</v>
      </c>
      <c r="AL13" s="965">
        <f t="shared" si="45"/>
        <v>3.2721209667865292</v>
      </c>
      <c r="AM13" s="965">
        <f t="shared" si="45"/>
        <v>3.2721209667865292</v>
      </c>
      <c r="AN13" s="965">
        <f t="shared" si="45"/>
        <v>3.2721209667865292</v>
      </c>
      <c r="AO13" s="965">
        <f t="shared" si="45"/>
        <v>3.2721209667865292</v>
      </c>
      <c r="AP13" s="965">
        <f t="shared" si="45"/>
        <v>3.2721209667865292</v>
      </c>
      <c r="AQ13" s="965">
        <f t="shared" si="45"/>
        <v>3.2721209667865292</v>
      </c>
      <c r="AR13" s="965">
        <f t="shared" si="45"/>
        <v>3.2721209667865292</v>
      </c>
      <c r="AS13" s="965">
        <f t="shared" si="45"/>
        <v>3.2721209667865292</v>
      </c>
      <c r="AT13" s="965">
        <f t="shared" si="45"/>
        <v>3.2721209667865292</v>
      </c>
      <c r="AU13" s="965">
        <f t="shared" si="45"/>
        <v>3.2721209667865292</v>
      </c>
      <c r="AV13" s="965">
        <f t="shared" si="45"/>
        <v>3.2721209667865292</v>
      </c>
      <c r="AW13" s="965">
        <f t="shared" si="45"/>
        <v>3.2721209667865292</v>
      </c>
      <c r="AX13" s="965">
        <f t="shared" si="45"/>
        <v>3.2721209667865292</v>
      </c>
      <c r="AY13" s="965">
        <f t="shared" si="45"/>
        <v>3.2721209667865292</v>
      </c>
      <c r="AZ13" s="965">
        <f t="shared" si="45"/>
        <v>3.2721209667865292</v>
      </c>
      <c r="BA13" s="965">
        <f t="shared" si="45"/>
        <v>3.2721209667865292</v>
      </c>
      <c r="BB13" s="965">
        <f t="shared" si="45"/>
        <v>3.2721209667865292</v>
      </c>
      <c r="BC13" s="965">
        <f t="shared" si="45"/>
        <v>3.2721209667865292</v>
      </c>
      <c r="BD13" s="965">
        <f t="shared" si="45"/>
        <v>3.2721209667865292</v>
      </c>
      <c r="BE13" s="965">
        <f t="shared" si="45"/>
        <v>3.2721209667865292</v>
      </c>
      <c r="BF13" s="965">
        <f t="shared" si="45"/>
        <v>3.2721209667865292</v>
      </c>
      <c r="BG13" s="965">
        <f t="shared" si="45"/>
        <v>3.2721209667865292</v>
      </c>
      <c r="BH13" s="965">
        <f t="shared" si="45"/>
        <v>3.2721209667865292</v>
      </c>
      <c r="BI13" s="965">
        <f t="shared" si="45"/>
        <v>3.2721209667865292</v>
      </c>
      <c r="BJ13" s="965">
        <f t="shared" si="45"/>
        <v>3.2721209667865292</v>
      </c>
      <c r="BK13" s="965">
        <f t="shared" si="45"/>
        <v>3.2721209667865292</v>
      </c>
      <c r="BL13" s="965">
        <f t="shared" si="45"/>
        <v>3.2721209667865292</v>
      </c>
      <c r="BM13" s="965">
        <f t="shared" si="45"/>
        <v>3.2721209667865292</v>
      </c>
      <c r="BN13" s="965">
        <f t="shared" si="45"/>
        <v>3.2721209667865292</v>
      </c>
      <c r="BO13" s="965">
        <f t="shared" si="45"/>
        <v>3.2721209667865292</v>
      </c>
      <c r="BP13" s="965">
        <f t="shared" si="45"/>
        <v>3.2721209667865292</v>
      </c>
      <c r="BQ13" s="965">
        <f t="shared" si="45"/>
        <v>3.2721209667865292</v>
      </c>
      <c r="BR13" s="965">
        <f t="shared" si="45"/>
        <v>3.2721209667865292</v>
      </c>
      <c r="BS13" s="965">
        <f t="shared" si="45"/>
        <v>3.2721209667865292</v>
      </c>
      <c r="BT13" s="965">
        <f t="shared" si="45"/>
        <v>3.2721209667865292</v>
      </c>
      <c r="BU13" s="965">
        <f t="shared" si="45"/>
        <v>3.2721209667865292</v>
      </c>
      <c r="BV13" s="966">
        <f t="shared" si="45"/>
        <v>3.2721209667865292</v>
      </c>
      <c r="BW13" s="1398">
        <f>+BV13*BW$137/BV$137</f>
        <v>3.2799858583089949</v>
      </c>
      <c r="BX13" s="1398">
        <f t="shared" ref="BX13:CZ13" si="46">+BW13*BX$137/BW$137</f>
        <v>3.2878696539365619</v>
      </c>
      <c r="BY13" s="1398">
        <f t="shared" si="46"/>
        <v>3.2957723991072623</v>
      </c>
      <c r="BZ13" s="1398">
        <f t="shared" si="46"/>
        <v>3.3036941393683414</v>
      </c>
      <c r="CA13" s="1398">
        <f t="shared" si="46"/>
        <v>3.3116349203765254</v>
      </c>
      <c r="CB13" s="1398">
        <f t="shared" si="46"/>
        <v>3.3185860082748779</v>
      </c>
      <c r="CC13" s="1398">
        <f t="shared" si="46"/>
        <v>3.3255516864357837</v>
      </c>
      <c r="CD13" s="1398">
        <f t="shared" si="46"/>
        <v>3.332531985484056</v>
      </c>
      <c r="CE13" s="1398">
        <f t="shared" si="46"/>
        <v>3.3395269361087871</v>
      </c>
      <c r="CF13" s="1398">
        <f t="shared" si="46"/>
        <v>3.3465365690634874</v>
      </c>
      <c r="CG13" s="1398">
        <f t="shared" si="46"/>
        <v>3.3551597730028546</v>
      </c>
      <c r="CH13" s="1398">
        <f t="shared" si="46"/>
        <v>3.3638051968237757</v>
      </c>
      <c r="CI13" s="1398">
        <f t="shared" si="46"/>
        <v>3.3724728977814351</v>
      </c>
      <c r="CJ13" s="1398">
        <f t="shared" si="46"/>
        <v>3.3811629332785507</v>
      </c>
      <c r="CK13" s="1398">
        <f t="shared" si="46"/>
        <v>3.3898753608657524</v>
      </c>
      <c r="CL13" s="1398">
        <f t="shared" si="46"/>
        <v>3.3971311128901611</v>
      </c>
      <c r="CM13" s="1398">
        <f t="shared" si="46"/>
        <v>3.4044023952606257</v>
      </c>
      <c r="CN13" s="1398">
        <f t="shared" si="46"/>
        <v>3.4116892412185864</v>
      </c>
      <c r="CO13" s="1398">
        <f t="shared" si="46"/>
        <v>3.4189916840766337</v>
      </c>
      <c r="CP13" s="1398">
        <f t="shared" si="46"/>
        <v>3.4263097572186623</v>
      </c>
      <c r="CQ13" s="1398">
        <f t="shared" si="46"/>
        <v>3.4330079202824653</v>
      </c>
      <c r="CR13" s="1398">
        <f t="shared" si="46"/>
        <v>3.4397191777223193</v>
      </c>
      <c r="CS13" s="1398">
        <f t="shared" si="46"/>
        <v>3.4464435551366885</v>
      </c>
      <c r="CT13" s="1398">
        <f t="shared" si="46"/>
        <v>3.453181078174079</v>
      </c>
      <c r="CU13" s="1398">
        <f t="shared" si="46"/>
        <v>3.4599317725331393</v>
      </c>
      <c r="CV13" s="1398">
        <f t="shared" si="46"/>
        <v>3.467901818241772</v>
      </c>
      <c r="CW13" s="1398">
        <f t="shared" si="46"/>
        <v>3.4758902231646247</v>
      </c>
      <c r="CX13" s="1398">
        <f t="shared" si="46"/>
        <v>3.4838970295926392</v>
      </c>
      <c r="CY13" s="1398">
        <f t="shared" si="46"/>
        <v>3.4919222799141783</v>
      </c>
      <c r="CZ13" s="1398">
        <f t="shared" si="46"/>
        <v>3.4999660166152444</v>
      </c>
    </row>
    <row r="14" spans="1:104" x14ac:dyDescent="0.25">
      <c r="A14" s="964" t="str">
        <f>'HyARC Physical Property Data'!$A$87</f>
        <v>Woody Biomass MYPP</v>
      </c>
      <c r="B14" s="260">
        <v>2007</v>
      </c>
      <c r="C14" s="874">
        <f>VLOOKUP(ref_year,DeflatorTable,2,FALSE)/VLOOKUP(B14,DeflatorTable,2,FALSE)</f>
        <v>1.1446359956438654</v>
      </c>
      <c r="D14" s="1260" t="str">
        <f>+'HyARC Physical Property Data'!$H$87</f>
        <v>kg</v>
      </c>
      <c r="E14" s="901" t="s">
        <v>1052</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65">
        <f t="shared" ref="O14:T14" si="48">N14-($N$14-$U$14)/7</f>
        <v>4.9664808197552768</v>
      </c>
      <c r="P14" s="965">
        <f t="shared" si="48"/>
        <v>4.8458272435653873</v>
      </c>
      <c r="Q14" s="965">
        <f t="shared" si="48"/>
        <v>4.7251736673754978</v>
      </c>
      <c r="R14" s="965">
        <f t="shared" si="48"/>
        <v>4.6045200911856083</v>
      </c>
      <c r="S14" s="965">
        <f t="shared" si="48"/>
        <v>4.4838665149957189</v>
      </c>
      <c r="T14" s="965">
        <f t="shared" si="48"/>
        <v>4.3632129388058294</v>
      </c>
      <c r="U14" s="965">
        <f>3.70647033533964*$C$14</f>
        <v>4.2425593626159408</v>
      </c>
      <c r="V14" s="965">
        <f t="shared" ref="V14:BV14" si="49">3.70647033533964*$C$14</f>
        <v>4.2425593626159408</v>
      </c>
      <c r="W14" s="965">
        <f t="shared" si="49"/>
        <v>4.2425593626159408</v>
      </c>
      <c r="X14" s="965">
        <f t="shared" si="49"/>
        <v>4.2425593626159408</v>
      </c>
      <c r="Y14" s="965">
        <f t="shared" si="49"/>
        <v>4.2425593626159408</v>
      </c>
      <c r="Z14" s="965">
        <f t="shared" si="49"/>
        <v>4.2425593626159408</v>
      </c>
      <c r="AA14" s="965">
        <f t="shared" si="49"/>
        <v>4.2425593626159408</v>
      </c>
      <c r="AB14" s="965">
        <f t="shared" si="49"/>
        <v>4.2425593626159408</v>
      </c>
      <c r="AC14" s="965">
        <f t="shared" si="49"/>
        <v>4.2425593626159408</v>
      </c>
      <c r="AD14" s="965">
        <f t="shared" si="49"/>
        <v>4.2425593626159408</v>
      </c>
      <c r="AE14" s="965">
        <f t="shared" si="49"/>
        <v>4.2425593626159408</v>
      </c>
      <c r="AF14" s="965">
        <f t="shared" si="49"/>
        <v>4.2425593626159408</v>
      </c>
      <c r="AG14" s="965">
        <f t="shared" si="49"/>
        <v>4.2425593626159408</v>
      </c>
      <c r="AH14" s="965">
        <f t="shared" si="49"/>
        <v>4.2425593626159408</v>
      </c>
      <c r="AI14" s="965">
        <f t="shared" si="49"/>
        <v>4.2425593626159408</v>
      </c>
      <c r="AJ14" s="965">
        <f t="shared" si="49"/>
        <v>4.2425593626159408</v>
      </c>
      <c r="AK14" s="965">
        <f t="shared" si="49"/>
        <v>4.2425593626159408</v>
      </c>
      <c r="AL14" s="965">
        <f t="shared" si="49"/>
        <v>4.2425593626159408</v>
      </c>
      <c r="AM14" s="965">
        <f t="shared" si="49"/>
        <v>4.2425593626159408</v>
      </c>
      <c r="AN14" s="965">
        <f t="shared" si="49"/>
        <v>4.2425593626159408</v>
      </c>
      <c r="AO14" s="965">
        <f t="shared" si="49"/>
        <v>4.2425593626159408</v>
      </c>
      <c r="AP14" s="965">
        <f t="shared" si="49"/>
        <v>4.2425593626159408</v>
      </c>
      <c r="AQ14" s="965">
        <f t="shared" si="49"/>
        <v>4.2425593626159408</v>
      </c>
      <c r="AR14" s="965">
        <f t="shared" si="49"/>
        <v>4.2425593626159408</v>
      </c>
      <c r="AS14" s="965">
        <f t="shared" si="49"/>
        <v>4.2425593626159408</v>
      </c>
      <c r="AT14" s="965">
        <f t="shared" si="49"/>
        <v>4.2425593626159408</v>
      </c>
      <c r="AU14" s="965">
        <f t="shared" si="49"/>
        <v>4.2425593626159408</v>
      </c>
      <c r="AV14" s="965">
        <f t="shared" si="49"/>
        <v>4.2425593626159408</v>
      </c>
      <c r="AW14" s="965">
        <f t="shared" si="49"/>
        <v>4.2425593626159408</v>
      </c>
      <c r="AX14" s="965">
        <f t="shared" si="49"/>
        <v>4.2425593626159408</v>
      </c>
      <c r="AY14" s="965">
        <f t="shared" si="49"/>
        <v>4.2425593626159408</v>
      </c>
      <c r="AZ14" s="965">
        <f t="shared" si="49"/>
        <v>4.2425593626159408</v>
      </c>
      <c r="BA14" s="965">
        <f t="shared" si="49"/>
        <v>4.2425593626159408</v>
      </c>
      <c r="BB14" s="965">
        <f t="shared" si="49"/>
        <v>4.2425593626159408</v>
      </c>
      <c r="BC14" s="965">
        <f t="shared" si="49"/>
        <v>4.2425593626159408</v>
      </c>
      <c r="BD14" s="965">
        <f t="shared" si="49"/>
        <v>4.2425593626159408</v>
      </c>
      <c r="BE14" s="965">
        <f t="shared" si="49"/>
        <v>4.2425593626159408</v>
      </c>
      <c r="BF14" s="965">
        <f t="shared" si="49"/>
        <v>4.2425593626159408</v>
      </c>
      <c r="BG14" s="965">
        <f t="shared" si="49"/>
        <v>4.2425593626159408</v>
      </c>
      <c r="BH14" s="965">
        <f t="shared" si="49"/>
        <v>4.2425593626159408</v>
      </c>
      <c r="BI14" s="965">
        <f t="shared" si="49"/>
        <v>4.2425593626159408</v>
      </c>
      <c r="BJ14" s="965">
        <f t="shared" si="49"/>
        <v>4.2425593626159408</v>
      </c>
      <c r="BK14" s="965">
        <f t="shared" si="49"/>
        <v>4.2425593626159408</v>
      </c>
      <c r="BL14" s="965">
        <f t="shared" si="49"/>
        <v>4.2425593626159408</v>
      </c>
      <c r="BM14" s="965">
        <f t="shared" si="49"/>
        <v>4.2425593626159408</v>
      </c>
      <c r="BN14" s="965">
        <f t="shared" si="49"/>
        <v>4.2425593626159408</v>
      </c>
      <c r="BO14" s="965">
        <f t="shared" si="49"/>
        <v>4.2425593626159408</v>
      </c>
      <c r="BP14" s="965">
        <f t="shared" si="49"/>
        <v>4.2425593626159408</v>
      </c>
      <c r="BQ14" s="965">
        <f t="shared" si="49"/>
        <v>4.2425593626159408</v>
      </c>
      <c r="BR14" s="965">
        <f t="shared" si="49"/>
        <v>4.2425593626159408</v>
      </c>
      <c r="BS14" s="965">
        <f t="shared" si="49"/>
        <v>4.2425593626159408</v>
      </c>
      <c r="BT14" s="965">
        <f t="shared" si="49"/>
        <v>4.2425593626159408</v>
      </c>
      <c r="BU14" s="965">
        <f t="shared" si="49"/>
        <v>4.2425593626159408</v>
      </c>
      <c r="BV14" s="965">
        <f t="shared" si="49"/>
        <v>4.2425593626159408</v>
      </c>
      <c r="BW14" s="1398">
        <f>+BV14*BW$137/BV$137</f>
        <v>4.2527568062628252</v>
      </c>
      <c r="BX14" s="1398">
        <f t="shared" ref="BX14:CZ14" si="50">+BW14*BX$137/BW$137</f>
        <v>4.2629787605524712</v>
      </c>
      <c r="BY14" s="1398">
        <f t="shared" si="50"/>
        <v>4.2732252843988219</v>
      </c>
      <c r="BZ14" s="1398">
        <f t="shared" si="50"/>
        <v>4.2834964368574244</v>
      </c>
      <c r="CA14" s="1398">
        <f t="shared" si="50"/>
        <v>4.2937922771257746</v>
      </c>
      <c r="CB14" s="1398">
        <f t="shared" si="50"/>
        <v>4.302804903291757</v>
      </c>
      <c r="CC14" s="1398">
        <f t="shared" si="50"/>
        <v>4.3118364468680763</v>
      </c>
      <c r="CD14" s="1398">
        <f t="shared" si="50"/>
        <v>4.3208869475621841</v>
      </c>
      <c r="CE14" s="1398">
        <f t="shared" si="50"/>
        <v>4.3299564451648767</v>
      </c>
      <c r="CF14" s="1398">
        <f t="shared" si="50"/>
        <v>4.3390449795504713</v>
      </c>
      <c r="CG14" s="1398">
        <f t="shared" si="50"/>
        <v>4.3502256342328796</v>
      </c>
      <c r="CH14" s="1398">
        <f t="shared" si="50"/>
        <v>4.361435098720146</v>
      </c>
      <c r="CI14" s="1398">
        <f t="shared" si="50"/>
        <v>4.3726734472480695</v>
      </c>
      <c r="CJ14" s="1398">
        <f t="shared" si="50"/>
        <v>4.3839407542437394</v>
      </c>
      <c r="CK14" s="1398">
        <f t="shared" si="50"/>
        <v>4.3952370943260251</v>
      </c>
      <c r="CL14" s="1398">
        <f t="shared" si="50"/>
        <v>4.4046447412304142</v>
      </c>
      <c r="CM14" s="1398">
        <f t="shared" si="50"/>
        <v>4.4140725244365262</v>
      </c>
      <c r="CN14" s="1398">
        <f t="shared" si="50"/>
        <v>4.4235204870444758</v>
      </c>
      <c r="CO14" s="1398">
        <f t="shared" si="50"/>
        <v>4.4329886722466272</v>
      </c>
      <c r="CP14" s="1398">
        <f t="shared" si="50"/>
        <v>4.4424771233277953</v>
      </c>
      <c r="CQ14" s="1398">
        <f t="shared" si="50"/>
        <v>4.4511618127714661</v>
      </c>
      <c r="CR14" s="1398">
        <f t="shared" si="50"/>
        <v>4.4598634800922632</v>
      </c>
      <c r="CS14" s="1398">
        <f t="shared" si="50"/>
        <v>4.4685821584805847</v>
      </c>
      <c r="CT14" s="1398">
        <f t="shared" si="50"/>
        <v>4.4773178811917154</v>
      </c>
      <c r="CU14" s="1398">
        <f t="shared" si="50"/>
        <v>4.486070681545951</v>
      </c>
      <c r="CV14" s="1398">
        <f t="shared" si="50"/>
        <v>4.4964044657748525</v>
      </c>
      <c r="CW14" s="1398">
        <f t="shared" si="50"/>
        <v>4.5067620541531026</v>
      </c>
      <c r="CX14" s="1398">
        <f t="shared" si="50"/>
        <v>4.5171435015141972</v>
      </c>
      <c r="CY14" s="1398">
        <f t="shared" si="50"/>
        <v>4.5275488628179446</v>
      </c>
      <c r="CZ14" s="1398">
        <f t="shared" si="50"/>
        <v>4.537978193150753</v>
      </c>
    </row>
    <row r="15" spans="1:104" x14ac:dyDescent="0.25">
      <c r="A15" s="970" t="str">
        <f>'HyARC Physical Property Data'!A79</f>
        <v>Electric Utility Steam Coal</v>
      </c>
      <c r="B15" s="260">
        <v>2007</v>
      </c>
      <c r="C15" s="874">
        <f>VLOOKUP(ref_year,DeflatorTable,2,FALSE)/VLOOKUP(B15,DeflatorTable,2,FALSE)</f>
        <v>1.1446359956438654</v>
      </c>
      <c r="D15" s="1260" t="str">
        <f>+'HyARC Physical Property Data'!$H$79</f>
        <v>kg</v>
      </c>
      <c r="E15" s="901" t="s">
        <v>1052</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76">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76">
        <f>(1.02844862093285*BB15)</f>
        <v>2.511095364132073</v>
      </c>
      <c r="BR15" s="260">
        <f>(($BV$15-$BQ$15)/5+BQ15)</f>
        <v>2.5158578441414332</v>
      </c>
      <c r="BS15" s="260">
        <f>(($BV$15-$BQ$15)/5+BR15)</f>
        <v>2.5206203241507934</v>
      </c>
      <c r="BT15" s="260">
        <f>(($BV$15-$BQ$15)/5+BS15)</f>
        <v>2.5253828041601536</v>
      </c>
      <c r="BU15" s="260">
        <f>(($BV$15-$BQ$15)/5+BT15)</f>
        <v>2.5301452841695138</v>
      </c>
      <c r="BV15" s="1079">
        <f>(1.00948287364428*BQ15)</f>
        <v>2.5349077641788749</v>
      </c>
      <c r="BW15" s="1398">
        <f>+BV15*BW$138/BV$138</f>
        <v>2.5434781738814416</v>
      </c>
      <c r="BX15" s="1398">
        <f t="shared" ref="BX15:CZ15" si="53">+BW15*BX$138/BW$138</f>
        <v>2.5520775597556495</v>
      </c>
      <c r="BY15" s="1398">
        <f t="shared" si="53"/>
        <v>2.5607060197686384</v>
      </c>
      <c r="BZ15" s="1398">
        <f t="shared" si="53"/>
        <v>2.5693636522187702</v>
      </c>
      <c r="CA15" s="1398">
        <f t="shared" si="53"/>
        <v>2.5780505557367492</v>
      </c>
      <c r="CB15" s="1398">
        <f t="shared" si="53"/>
        <v>2.5854319192311639</v>
      </c>
      <c r="CC15" s="1398">
        <f t="shared" si="53"/>
        <v>2.592834416728135</v>
      </c>
      <c r="CD15" s="1398">
        <f t="shared" si="53"/>
        <v>2.6002581087376306</v>
      </c>
      <c r="CE15" s="1398">
        <f t="shared" si="53"/>
        <v>2.6077030559428676</v>
      </c>
      <c r="CF15" s="1398">
        <f t="shared" si="53"/>
        <v>2.6151693192008074</v>
      </c>
      <c r="CG15" s="1398">
        <f t="shared" si="53"/>
        <v>2.620869818974227</v>
      </c>
      <c r="CH15" s="1398">
        <f t="shared" si="53"/>
        <v>2.6265827445961101</v>
      </c>
      <c r="CI15" s="1398">
        <f t="shared" si="53"/>
        <v>2.6323081231521006</v>
      </c>
      <c r="CJ15" s="1398">
        <f t="shared" si="53"/>
        <v>2.6380459817868847</v>
      </c>
      <c r="CK15" s="1398">
        <f t="shared" si="53"/>
        <v>2.6437963477043169</v>
      </c>
      <c r="CL15" s="1398">
        <f t="shared" si="53"/>
        <v>2.6476946163242814</v>
      </c>
      <c r="CM15" s="1398">
        <f t="shared" si="53"/>
        <v>2.6515986329279162</v>
      </c>
      <c r="CN15" s="1398">
        <f t="shared" si="53"/>
        <v>2.6555084059906031</v>
      </c>
      <c r="CO15" s="1398">
        <f t="shared" si="53"/>
        <v>2.6594239440002214</v>
      </c>
      <c r="CP15" s="1398">
        <f t="shared" si="53"/>
        <v>2.6633452554571648</v>
      </c>
      <c r="CQ15" s="1398">
        <f t="shared" si="53"/>
        <v>2.6646584413422429</v>
      </c>
      <c r="CR15" s="1398">
        <f t="shared" si="53"/>
        <v>2.6659722747052119</v>
      </c>
      <c r="CS15" s="1398">
        <f t="shared" si="53"/>
        <v>2.6672867558653164</v>
      </c>
      <c r="CT15" s="1398">
        <f t="shared" si="53"/>
        <v>2.6686018851419582</v>
      </c>
      <c r="CU15" s="1398">
        <f t="shared" si="53"/>
        <v>2.6699176628546981</v>
      </c>
      <c r="CV15" s="1398">
        <f t="shared" si="53"/>
        <v>2.6680266065225413</v>
      </c>
      <c r="CW15" s="1398">
        <f t="shared" si="53"/>
        <v>2.6661368895927571</v>
      </c>
      <c r="CX15" s="1398">
        <f t="shared" si="53"/>
        <v>2.6642485111166696</v>
      </c>
      <c r="CY15" s="1398">
        <f t="shared" si="53"/>
        <v>2.662361470146275</v>
      </c>
      <c r="CZ15" s="1398">
        <f t="shared" si="53"/>
        <v>2.6604757657342417</v>
      </c>
    </row>
    <row r="16" spans="1:104" x14ac:dyDescent="0.25">
      <c r="A16" s="964" t="str">
        <f>'HyARC Physical Property Data'!A76</f>
        <v>Commercial Electricity</v>
      </c>
      <c r="B16" s="260">
        <v>2007</v>
      </c>
      <c r="C16" s="874">
        <f t="shared" si="37"/>
        <v>1.1446359956438654</v>
      </c>
      <c r="D16" s="1260" t="str">
        <f>'HyARC Physical Property Data'!$H$76</f>
        <v>kWh</v>
      </c>
      <c r="E16" s="874" t="s">
        <v>1071</v>
      </c>
      <c r="F16" s="874"/>
      <c r="G16" s="874"/>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76">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76">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79">
        <f>1.00317623736115*BQ16</f>
        <v>32.388575392639169</v>
      </c>
      <c r="BW16" s="1398">
        <f>+BV16*BW$139/BV$139</f>
        <v>32.37431458077026</v>
      </c>
      <c r="BX16" s="1398">
        <f t="shared" ref="BX16:CZ16" si="57">+BW16*BX$139/BW$139</f>
        <v>32.360060047990594</v>
      </c>
      <c r="BY16" s="1398">
        <f t="shared" si="57"/>
        <v>32.345811791535453</v>
      </c>
      <c r="BZ16" s="1398">
        <f t="shared" si="57"/>
        <v>32.331569808641355</v>
      </c>
      <c r="CA16" s="1398">
        <f t="shared" si="57"/>
        <v>32.317334096546027</v>
      </c>
      <c r="CB16" s="1398">
        <f t="shared" si="57"/>
        <v>32.291448416621037</v>
      </c>
      <c r="CC16" s="1398">
        <f t="shared" si="57"/>
        <v>32.265583470721417</v>
      </c>
      <c r="CD16" s="1398">
        <f t="shared" si="57"/>
        <v>32.239739242239537</v>
      </c>
      <c r="CE16" s="1398">
        <f t="shared" si="57"/>
        <v>32.213915714581077</v>
      </c>
      <c r="CF16" s="1398">
        <f t="shared" si="57"/>
        <v>32.188112871164996</v>
      </c>
      <c r="CG16" s="1398">
        <f t="shared" si="57"/>
        <v>32.152568008354812</v>
      </c>
      <c r="CH16" s="1398">
        <f t="shared" si="57"/>
        <v>32.11706239721736</v>
      </c>
      <c r="CI16" s="1398">
        <f t="shared" si="57"/>
        <v>32.081595994407593</v>
      </c>
      <c r="CJ16" s="1398">
        <f t="shared" si="57"/>
        <v>32.046168756628319</v>
      </c>
      <c r="CK16" s="1398">
        <f t="shared" si="57"/>
        <v>32.010780640630173</v>
      </c>
      <c r="CL16" s="1398">
        <f t="shared" si="57"/>
        <v>31.972198945666406</v>
      </c>
      <c r="CM16" s="1398">
        <f t="shared" si="57"/>
        <v>31.933663752136113</v>
      </c>
      <c r="CN16" s="1398">
        <f t="shared" si="57"/>
        <v>31.895175003992414</v>
      </c>
      <c r="CO16" s="1398">
        <f t="shared" si="57"/>
        <v>31.856732645255992</v>
      </c>
      <c r="CP16" s="1398">
        <f t="shared" si="57"/>
        <v>31.818336620015</v>
      </c>
      <c r="CQ16" s="1398">
        <f t="shared" si="57"/>
        <v>31.773863996680806</v>
      </c>
      <c r="CR16" s="1398">
        <f t="shared" si="57"/>
        <v>31.729453532919873</v>
      </c>
      <c r="CS16" s="1398">
        <f t="shared" si="57"/>
        <v>31.685105141851508</v>
      </c>
      <c r="CT16" s="1398">
        <f t="shared" si="57"/>
        <v>31.640818736716444</v>
      </c>
      <c r="CU16" s="1398">
        <f t="shared" si="57"/>
        <v>31.596594230876679</v>
      </c>
      <c r="CV16" s="1398">
        <f t="shared" si="57"/>
        <v>31.553423239824536</v>
      </c>
      <c r="CW16" s="1398">
        <f t="shared" si="57"/>
        <v>31.510311234068549</v>
      </c>
      <c r="CX16" s="1398">
        <f t="shared" si="57"/>
        <v>31.467258133016063</v>
      </c>
      <c r="CY16" s="1398">
        <f t="shared" si="57"/>
        <v>31.424263856184528</v>
      </c>
      <c r="CZ16" s="1398">
        <f t="shared" si="57"/>
        <v>31.381328323201359</v>
      </c>
    </row>
    <row r="17" spans="1:104" x14ac:dyDescent="0.25">
      <c r="A17" s="964" t="str">
        <f>'HyARC Physical Property Data'!A77</f>
        <v>Industrial Electricity</v>
      </c>
      <c r="B17" s="260">
        <v>2007</v>
      </c>
      <c r="C17" s="874">
        <f t="shared" si="37"/>
        <v>1.1446359956438654</v>
      </c>
      <c r="D17" s="964" t="str">
        <f>'HyARC Physical Property Data'!$H$77</f>
        <v>kWh</v>
      </c>
      <c r="E17" s="874" t="s">
        <v>1071</v>
      </c>
      <c r="F17" s="874"/>
      <c r="G17" s="874"/>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76">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76">
        <f>1.00952871208344*BB17</f>
        <v>22.387679993913494</v>
      </c>
      <c r="BR17" s="260">
        <f t="shared" si="56"/>
        <v>22.401901711038722</v>
      </c>
      <c r="BS17" s="260">
        <f t="shared" si="56"/>
        <v>22.416123428163949</v>
      </c>
      <c r="BT17" s="260">
        <f t="shared" si="56"/>
        <v>22.430345145289177</v>
      </c>
      <c r="BU17" s="260">
        <f t="shared" si="56"/>
        <v>22.444566862414405</v>
      </c>
      <c r="BV17" s="1079">
        <f>1.00317623736115*BQ17</f>
        <v>22.458788579539629</v>
      </c>
      <c r="BW17" s="1398">
        <f>+BV17*BW$140/BV$140</f>
        <v>22.465574719294207</v>
      </c>
      <c r="BX17" s="1398">
        <f t="shared" ref="BX17:CZ17" si="58">+BW17*BX$140/BW$140</f>
        <v>22.472362909546415</v>
      </c>
      <c r="BY17" s="1398">
        <f t="shared" si="58"/>
        <v>22.479153150915831</v>
      </c>
      <c r="BZ17" s="1398">
        <f t="shared" si="58"/>
        <v>22.485945444022224</v>
      </c>
      <c r="CA17" s="1398">
        <f t="shared" si="58"/>
        <v>22.492739789485537</v>
      </c>
      <c r="CB17" s="1398">
        <f t="shared" si="58"/>
        <v>22.49019603346196</v>
      </c>
      <c r="CC17" s="1398">
        <f t="shared" si="58"/>
        <v>22.487652565117642</v>
      </c>
      <c r="CD17" s="1398">
        <f t="shared" si="58"/>
        <v>22.485109384420049</v>
      </c>
      <c r="CE17" s="1398">
        <f t="shared" si="58"/>
        <v>22.482566491336648</v>
      </c>
      <c r="CF17" s="1398">
        <f t="shared" si="58"/>
        <v>22.480023885834914</v>
      </c>
      <c r="CG17" s="1398">
        <f t="shared" si="58"/>
        <v>22.469826748009918</v>
      </c>
      <c r="CH17" s="1398">
        <f t="shared" si="58"/>
        <v>22.459634235696903</v>
      </c>
      <c r="CI17" s="1398">
        <f t="shared" si="58"/>
        <v>22.449446346797696</v>
      </c>
      <c r="CJ17" s="1398">
        <f t="shared" si="58"/>
        <v>22.439263079215074</v>
      </c>
      <c r="CK17" s="1398">
        <f t="shared" si="58"/>
        <v>22.429084430852768</v>
      </c>
      <c r="CL17" s="1398">
        <f t="shared" si="58"/>
        <v>22.41659732007183</v>
      </c>
      <c r="CM17" s="1398">
        <f t="shared" si="58"/>
        <v>22.404117161332831</v>
      </c>
      <c r="CN17" s="1398">
        <f t="shared" si="58"/>
        <v>22.39164395076531</v>
      </c>
      <c r="CO17" s="1398">
        <f t="shared" si="58"/>
        <v>22.379177684500963</v>
      </c>
      <c r="CP17" s="1398">
        <f t="shared" si="58"/>
        <v>22.36671835867363</v>
      </c>
      <c r="CQ17" s="1398">
        <f t="shared" si="58"/>
        <v>22.349648462331068</v>
      </c>
      <c r="CR17" s="1398">
        <f t="shared" si="58"/>
        <v>22.332591593441013</v>
      </c>
      <c r="CS17" s="1398">
        <f t="shared" si="58"/>
        <v>22.315547742061138</v>
      </c>
      <c r="CT17" s="1398">
        <f t="shared" si="58"/>
        <v>22.2985168982567</v>
      </c>
      <c r="CU17" s="1398">
        <f t="shared" si="58"/>
        <v>22.281499052100536</v>
      </c>
      <c r="CV17" s="1398">
        <f t="shared" si="58"/>
        <v>22.265499049909142</v>
      </c>
      <c r="CW17" s="1398">
        <f t="shared" si="58"/>
        <v>22.249510537073537</v>
      </c>
      <c r="CX17" s="1398">
        <f t="shared" si="58"/>
        <v>22.233533505343395</v>
      </c>
      <c r="CY17" s="1398">
        <f t="shared" si="58"/>
        <v>22.217567946474304</v>
      </c>
      <c r="CZ17" s="1398">
        <f t="shared" si="58"/>
        <v>22.20161385222778</v>
      </c>
    </row>
    <row r="18" spans="1:104" ht="13" thickBot="1" x14ac:dyDescent="0.3">
      <c r="A18" s="967" t="str">
        <f>'HyARC Physical Property Data'!A78</f>
        <v>Residential Electricity</v>
      </c>
      <c r="B18" s="880">
        <v>2007</v>
      </c>
      <c r="C18" s="881">
        <f t="shared" si="37"/>
        <v>1.1446359956438654</v>
      </c>
      <c r="D18" s="967" t="str">
        <f>'HyARC Physical Property Data'!$H$78</f>
        <v>kWh</v>
      </c>
      <c r="E18" s="881" t="s">
        <v>1071</v>
      </c>
      <c r="F18" s="880"/>
      <c r="G18" s="880"/>
      <c r="H18" s="880">
        <f>(31.2067794799805/(mmBTU_to_GJ))*($C$18)</f>
        <v>33.858201991380128</v>
      </c>
      <c r="I18" s="880">
        <f>(31.2067794799805/(mmBTU_to_GJ))*($C$18)</f>
        <v>33.858201991380128</v>
      </c>
      <c r="J18" s="880">
        <f>(31.2067794799805/(mmBTU_to_GJ))*($C$18)</f>
        <v>33.858201991380128</v>
      </c>
      <c r="K18" s="880">
        <f>(31.181957244873/(mmBTU_to_GJ))*($C$18)</f>
        <v>33.831270783990192</v>
      </c>
      <c r="L18" s="880">
        <f>(31.772819519043/(mmBTU_to_GJ))*($C$18)</f>
        <v>34.472334506722866</v>
      </c>
      <c r="M18" s="880">
        <f>(30.736837387085/(mmBTU_to_GJ))*($C$18)</f>
        <v>33.348332194795859</v>
      </c>
      <c r="N18" s="880">
        <f>(28.6163578033447/(mmBTU_to_GJ))*($C$18)</f>
        <v>31.047690242590104</v>
      </c>
      <c r="O18" s="880">
        <f>(29.8736190795898/(mmBTU_to_GJ))*($C$18)</f>
        <v>32.411772245167633</v>
      </c>
      <c r="P18" s="880">
        <f>(30.101655960083/(mmBTU_to_GJ))*($C$18)</f>
        <v>32.659183829761808</v>
      </c>
      <c r="Q18" s="880">
        <f>(30.4253902435303/(mmBTU_to_GJ))*($C$18)</f>
        <v>33.010423558536921</v>
      </c>
      <c r="R18" s="880">
        <f>(30.7938537597656/(mmBTU_to_GJ))*($C$18)</f>
        <v>33.410192851204634</v>
      </c>
      <c r="S18" s="880">
        <f>(30.8830280303955/(mmBTU_to_GJ))*($C$18)</f>
        <v>33.50694363798025</v>
      </c>
      <c r="T18" s="880">
        <f>(31.1491451263428/(mmBTU_to_GJ))*($C$18)</f>
        <v>33.795670848480235</v>
      </c>
      <c r="U18" s="880">
        <f>(31.4898681640625/(mmBTU_to_GJ))*($C$18)</f>
        <v>34.165342747550469</v>
      </c>
      <c r="V18" s="880">
        <f>(31.8156299591064/(mmBTU_to_GJ))*($C$18)</f>
        <v>34.518782251448862</v>
      </c>
      <c r="W18" s="880">
        <f>(32.0206985473633/(mmBTU_to_GJ))*($C$18)</f>
        <v>34.741274088126325</v>
      </c>
      <c r="X18" s="880">
        <f>(32.4303588867188/(mmBTU_to_GJ))*($C$18)</f>
        <v>35.185740410793606</v>
      </c>
      <c r="Y18" s="880">
        <f>(32.7907905578613/(mmBTU_to_GJ))*($C$18)</f>
        <v>35.576795448480595</v>
      </c>
      <c r="Z18" s="880">
        <f>(32.9940071105957/(mmBTU_to_GJ))*($C$18)</f>
        <v>35.797277895087667</v>
      </c>
      <c r="AA18" s="880">
        <f>(32.9234657287598/(mmBTU_to_GJ))*($C$18)</f>
        <v>35.720743103777878</v>
      </c>
      <c r="AB18" s="880">
        <f>(32.9201545715332/(mmBTU_to_GJ))*($C$18)</f>
        <v>35.717150620603661</v>
      </c>
      <c r="AC18" s="880">
        <f>(32.902271270752/(mmBTU_to_GJ))*($C$18)</f>
        <v>35.69774790041874</v>
      </c>
      <c r="AD18" s="880">
        <f>(32.9582405090332/(mmBTU_to_GJ))*($C$18)</f>
        <v>35.758472454717726</v>
      </c>
      <c r="AE18" s="880">
        <f>(33.321102142334/(mmBTU_to_GJ))*($C$18)</f>
        <v>36.152163911508453</v>
      </c>
      <c r="AF18" s="880">
        <f>(33.7343635559082/(mmBTU_to_GJ))*($C$18)</f>
        <v>36.600537266567883</v>
      </c>
      <c r="AG18" s="880">
        <f>(34.1495399475098/(mmBTU_to_GJ))*($C$18)</f>
        <v>37.050988301988475</v>
      </c>
      <c r="AH18" s="880">
        <f>(34.4904899597167/(mmBTU_to_GJ))*($C$18)</f>
        <v>37.420906459985844</v>
      </c>
      <c r="AI18" s="880">
        <f t="shared" si="54"/>
        <v>37.409873259446485</v>
      </c>
      <c r="AJ18" s="880">
        <f t="shared" si="54"/>
        <v>37.398840058907126</v>
      </c>
      <c r="AK18" s="880">
        <f t="shared" si="54"/>
        <v>37.387806858367767</v>
      </c>
      <c r="AL18" s="880">
        <f t="shared" si="54"/>
        <v>37.376773657828409</v>
      </c>
      <c r="AM18" s="880">
        <f t="shared" si="54"/>
        <v>37.36574045728905</v>
      </c>
      <c r="AN18" s="880">
        <f t="shared" si="54"/>
        <v>37.354707256749691</v>
      </c>
      <c r="AO18" s="880">
        <f t="shared" si="54"/>
        <v>37.343674056210332</v>
      </c>
      <c r="AP18" s="880">
        <f t="shared" si="54"/>
        <v>37.332640855670974</v>
      </c>
      <c r="AQ18" s="880">
        <f t="shared" si="54"/>
        <v>37.321607655131615</v>
      </c>
      <c r="AR18" s="880">
        <f t="shared" si="54"/>
        <v>37.310574454592256</v>
      </c>
      <c r="AS18" s="880">
        <f t="shared" si="54"/>
        <v>37.299541254052897</v>
      </c>
      <c r="AT18" s="880">
        <f t="shared" si="54"/>
        <v>37.288508053513539</v>
      </c>
      <c r="AU18" s="880">
        <f t="shared" si="54"/>
        <v>37.27747485297418</v>
      </c>
      <c r="AV18" s="880">
        <f t="shared" si="54"/>
        <v>37.266441652434821</v>
      </c>
      <c r="AW18" s="880">
        <f t="shared" si="54"/>
        <v>37.255408451895462</v>
      </c>
      <c r="AX18" s="880">
        <f t="shared" si="54"/>
        <v>37.244375251356104</v>
      </c>
      <c r="AY18" s="880">
        <f t="shared" si="54"/>
        <v>37.233342050816745</v>
      </c>
      <c r="AZ18" s="880">
        <f t="shared" si="54"/>
        <v>37.222308850277386</v>
      </c>
      <c r="BA18" s="880">
        <f t="shared" si="54"/>
        <v>37.211275649738027</v>
      </c>
      <c r="BB18" s="1080">
        <f>0.994103189054944*AH18</f>
        <v>37.200242449198683</v>
      </c>
      <c r="BC18" s="880">
        <f t="shared" si="55"/>
        <v>37.223873809180851</v>
      </c>
      <c r="BD18" s="880">
        <f t="shared" si="55"/>
        <v>37.24750516916302</v>
      </c>
      <c r="BE18" s="880">
        <f t="shared" si="55"/>
        <v>37.271136529145188</v>
      </c>
      <c r="BF18" s="880">
        <f t="shared" si="55"/>
        <v>37.294767889127357</v>
      </c>
      <c r="BG18" s="880">
        <f t="shared" si="55"/>
        <v>37.318399249109525</v>
      </c>
      <c r="BH18" s="880">
        <f t="shared" si="55"/>
        <v>37.342030609091694</v>
      </c>
      <c r="BI18" s="880">
        <f t="shared" si="55"/>
        <v>37.365661969073862</v>
      </c>
      <c r="BJ18" s="880">
        <f t="shared" si="55"/>
        <v>37.389293329056031</v>
      </c>
      <c r="BK18" s="880">
        <f t="shared" si="55"/>
        <v>37.412924689038199</v>
      </c>
      <c r="BL18" s="880">
        <f t="shared" si="55"/>
        <v>37.436556049020368</v>
      </c>
      <c r="BM18" s="880">
        <f t="shared" si="55"/>
        <v>37.460187409002536</v>
      </c>
      <c r="BN18" s="880">
        <f t="shared" si="55"/>
        <v>37.483818768984705</v>
      </c>
      <c r="BO18" s="880">
        <f t="shared" si="55"/>
        <v>37.507450128966873</v>
      </c>
      <c r="BP18" s="880">
        <f t="shared" si="55"/>
        <v>37.531081488949042</v>
      </c>
      <c r="BQ18" s="1080">
        <f>1.00952871208344*BB18</f>
        <v>37.55471284893126</v>
      </c>
      <c r="BR18" s="880">
        <f t="shared" si="56"/>
        <v>37.578569385338866</v>
      </c>
      <c r="BS18" s="880">
        <f t="shared" si="56"/>
        <v>37.602425921746473</v>
      </c>
      <c r="BT18" s="880">
        <f t="shared" si="56"/>
        <v>37.62628245815408</v>
      </c>
      <c r="BU18" s="880">
        <f t="shared" si="56"/>
        <v>37.650138994561686</v>
      </c>
      <c r="BV18" s="1081">
        <f>1.00317623736115*BQ18</f>
        <v>37.673995530969293</v>
      </c>
      <c r="BW18" s="1398">
        <f>+BV18*BW$141/BV$141</f>
        <v>37.657407528684409</v>
      </c>
      <c r="BX18" s="1398">
        <f t="shared" ref="BX18:CZ18" si="59">+BW18*BX$141/BW$141</f>
        <v>37.640826830159476</v>
      </c>
      <c r="BY18" s="1398">
        <f t="shared" si="59"/>
        <v>37.62425343217862</v>
      </c>
      <c r="BZ18" s="1398">
        <f t="shared" si="59"/>
        <v>37.607687331527387</v>
      </c>
      <c r="CA18" s="1398">
        <f t="shared" si="59"/>
        <v>37.59112852499274</v>
      </c>
      <c r="CB18" s="1398">
        <f t="shared" si="59"/>
        <v>37.561018618089207</v>
      </c>
      <c r="CC18" s="1398">
        <f t="shared" si="59"/>
        <v>37.530932828750899</v>
      </c>
      <c r="CD18" s="1398">
        <f t="shared" si="59"/>
        <v>37.500871137660013</v>
      </c>
      <c r="CE18" s="1398">
        <f t="shared" si="59"/>
        <v>37.47083352551423</v>
      </c>
      <c r="CF18" s="1398">
        <f t="shared" si="59"/>
        <v>37.440819973026684</v>
      </c>
      <c r="CG18" s="1398">
        <f t="shared" si="59"/>
        <v>37.399474622500279</v>
      </c>
      <c r="CH18" s="1398">
        <f t="shared" si="59"/>
        <v>37.358174929040445</v>
      </c>
      <c r="CI18" s="1398">
        <f t="shared" si="59"/>
        <v>37.316920842228761</v>
      </c>
      <c r="CJ18" s="1398">
        <f t="shared" si="59"/>
        <v>37.275712311702456</v>
      </c>
      <c r="CK18" s="1398">
        <f t="shared" si="59"/>
        <v>37.234549287154408</v>
      </c>
      <c r="CL18" s="1398">
        <f t="shared" si="59"/>
        <v>37.189671530537417</v>
      </c>
      <c r="CM18" s="1398">
        <f t="shared" si="59"/>
        <v>37.144847863820196</v>
      </c>
      <c r="CN18" s="1398">
        <f t="shared" si="59"/>
        <v>37.100078221809703</v>
      </c>
      <c r="CO18" s="1398">
        <f t="shared" si="59"/>
        <v>37.055362539391488</v>
      </c>
      <c r="CP18" s="1398">
        <f t="shared" si="59"/>
        <v>37.010700751529562</v>
      </c>
      <c r="CQ18" s="1398">
        <f t="shared" si="59"/>
        <v>36.958970738942355</v>
      </c>
      <c r="CR18" s="1398">
        <f t="shared" si="59"/>
        <v>36.907313029611991</v>
      </c>
      <c r="CS18" s="1398">
        <f t="shared" si="59"/>
        <v>36.855727522479896</v>
      </c>
      <c r="CT18" s="1398">
        <f t="shared" si="59"/>
        <v>36.804214116628756</v>
      </c>
      <c r="CU18" s="1398">
        <f t="shared" si="59"/>
        <v>36.752772711282311</v>
      </c>
      <c r="CV18" s="1398">
        <f t="shared" si="59"/>
        <v>36.70255674147662</v>
      </c>
      <c r="CW18" s="1398">
        <f t="shared" si="59"/>
        <v>36.652409382647399</v>
      </c>
      <c r="CX18" s="1398">
        <f t="shared" si="59"/>
        <v>36.602330541050243</v>
      </c>
      <c r="CY18" s="1398">
        <f t="shared" si="59"/>
        <v>36.552320123068824</v>
      </c>
      <c r="CZ18" s="1398">
        <f t="shared" si="59"/>
        <v>36.502378035214747</v>
      </c>
    </row>
    <row r="19" spans="1:104" ht="13" thickTop="1" x14ac:dyDescent="0.25">
      <c r="AH19" s="260"/>
    </row>
    <row r="20" spans="1:104" x14ac:dyDescent="0.25">
      <c r="E20" s="260"/>
    </row>
    <row r="21" spans="1:104" ht="13" thickBot="1" x14ac:dyDescent="0.3"/>
    <row r="22" spans="1:104" ht="13.5" thickTop="1" x14ac:dyDescent="0.3">
      <c r="A22" s="867" t="s">
        <v>1105</v>
      </c>
      <c r="B22" s="868" t="str">
        <f>"Prices are in $(" &amp; ref_year&amp;")/GJ LHV"</f>
        <v>Prices are in $(2016)/GJ LHV</v>
      </c>
      <c r="C22" s="869"/>
      <c r="D22" s="869"/>
      <c r="E22" s="869"/>
      <c r="F22" s="869"/>
      <c r="G22" s="869"/>
      <c r="H22" s="869"/>
      <c r="I22" s="869"/>
      <c r="J22" s="869"/>
      <c r="K22" s="869"/>
      <c r="L22" s="869"/>
      <c r="M22" s="869"/>
      <c r="N22" s="869"/>
      <c r="O22" s="869"/>
      <c r="P22" s="869"/>
      <c r="Q22" s="869"/>
      <c r="R22" s="869"/>
      <c r="S22" s="869"/>
      <c r="T22" s="869"/>
      <c r="U22" s="869"/>
      <c r="V22" s="869"/>
      <c r="W22" s="869"/>
      <c r="X22" s="869"/>
      <c r="Y22" s="869"/>
      <c r="Z22" s="869"/>
      <c r="AA22" s="869"/>
      <c r="AB22" s="869"/>
      <c r="AC22" s="869"/>
      <c r="AD22" s="869"/>
      <c r="AE22" s="869"/>
      <c r="AF22" s="869"/>
      <c r="AG22" s="869"/>
      <c r="AH22" s="869"/>
      <c r="AI22" s="869"/>
      <c r="AJ22" s="869"/>
      <c r="AK22" s="869"/>
      <c r="AL22" s="869"/>
      <c r="AM22" s="869"/>
      <c r="AN22" s="869"/>
      <c r="AO22" s="869"/>
      <c r="AP22" s="869"/>
      <c r="AQ22" s="869"/>
      <c r="AR22" s="869"/>
      <c r="AS22" s="882" t="s">
        <v>772</v>
      </c>
      <c r="AT22" s="883"/>
      <c r="AU22" s="883"/>
      <c r="AV22" s="883"/>
      <c r="AW22" s="883"/>
      <c r="AX22" s="883"/>
      <c r="AY22" s="883"/>
      <c r="AZ22" s="883"/>
      <c r="BA22" s="883"/>
      <c r="BB22" s="883"/>
      <c r="BC22" s="883"/>
      <c r="BD22" s="883"/>
      <c r="BE22" s="883"/>
      <c r="BF22" s="883"/>
      <c r="BG22" s="883"/>
      <c r="BH22" s="883"/>
      <c r="BI22" s="883"/>
      <c r="BJ22" s="883"/>
      <c r="BK22" s="883"/>
      <c r="BL22" s="883"/>
      <c r="BM22" s="883"/>
      <c r="BN22" s="883"/>
      <c r="BO22" s="883"/>
      <c r="BP22" s="883"/>
      <c r="BQ22" s="883"/>
      <c r="BR22" s="883"/>
      <c r="BS22" s="883"/>
      <c r="BT22" s="883"/>
      <c r="BU22" s="883"/>
      <c r="BV22" s="884"/>
    </row>
    <row r="23" spans="1:104" ht="39.5" thickBot="1" x14ac:dyDescent="0.35">
      <c r="A23" s="887" t="s">
        <v>1084</v>
      </c>
      <c r="B23" s="888" t="s">
        <v>678</v>
      </c>
      <c r="C23" s="888" t="s">
        <v>679</v>
      </c>
      <c r="D23" s="888" t="s">
        <v>690</v>
      </c>
      <c r="E23" s="888" t="s">
        <v>691</v>
      </c>
      <c r="F23" s="889" t="s">
        <v>680</v>
      </c>
      <c r="G23" s="889" t="s">
        <v>692</v>
      </c>
      <c r="H23" s="1067">
        <v>2004</v>
      </c>
      <c r="I23" s="1067">
        <v>2005</v>
      </c>
      <c r="J23" s="1067">
        <v>2006</v>
      </c>
      <c r="K23" s="1067">
        <v>2007</v>
      </c>
      <c r="L23" s="1067">
        <v>2008</v>
      </c>
      <c r="M23" s="1067">
        <v>2009</v>
      </c>
      <c r="N23" s="889">
        <v>2010</v>
      </c>
      <c r="O23" s="889">
        <v>2011</v>
      </c>
      <c r="P23" s="889">
        <v>2012</v>
      </c>
      <c r="Q23" s="889">
        <v>2013</v>
      </c>
      <c r="R23" s="889">
        <v>2014</v>
      </c>
      <c r="S23" s="889">
        <v>2015</v>
      </c>
      <c r="T23" s="889">
        <v>2016</v>
      </c>
      <c r="U23" s="889">
        <v>2017</v>
      </c>
      <c r="V23" s="889">
        <v>2018</v>
      </c>
      <c r="W23" s="889">
        <v>2019</v>
      </c>
      <c r="X23" s="889">
        <v>2020</v>
      </c>
      <c r="Y23" s="889">
        <v>2021</v>
      </c>
      <c r="Z23" s="889">
        <v>2022</v>
      </c>
      <c r="AA23" s="889">
        <v>2023</v>
      </c>
      <c r="AB23" s="889">
        <v>2024</v>
      </c>
      <c r="AC23" s="889">
        <v>2025</v>
      </c>
      <c r="AD23" s="889">
        <v>2026</v>
      </c>
      <c r="AE23" s="889">
        <v>2027</v>
      </c>
      <c r="AF23" s="889">
        <v>2028</v>
      </c>
      <c r="AG23" s="889">
        <v>2029</v>
      </c>
      <c r="AH23" s="889">
        <v>2030</v>
      </c>
      <c r="AI23" s="889">
        <v>2031</v>
      </c>
      <c r="AJ23" s="889">
        <v>2032</v>
      </c>
      <c r="AK23" s="889">
        <v>2033</v>
      </c>
      <c r="AL23" s="889">
        <v>2034</v>
      </c>
      <c r="AM23" s="889">
        <v>2035</v>
      </c>
      <c r="AN23" s="889">
        <v>2036</v>
      </c>
      <c r="AO23" s="889">
        <v>2037</v>
      </c>
      <c r="AP23" s="889">
        <v>2038</v>
      </c>
      <c r="AQ23" s="889">
        <v>2039</v>
      </c>
      <c r="AR23" s="889">
        <v>2040</v>
      </c>
      <c r="AS23" s="889">
        <v>2041</v>
      </c>
      <c r="AT23" s="889">
        <v>2042</v>
      </c>
      <c r="AU23" s="889">
        <v>2043</v>
      </c>
      <c r="AV23" s="889">
        <v>2044</v>
      </c>
      <c r="AW23" s="889">
        <v>2045</v>
      </c>
      <c r="AX23" s="889">
        <v>2046</v>
      </c>
      <c r="AY23" s="889">
        <v>2047</v>
      </c>
      <c r="AZ23" s="889">
        <v>2048</v>
      </c>
      <c r="BA23" s="889">
        <v>2049</v>
      </c>
      <c r="BB23" s="889">
        <v>2050</v>
      </c>
      <c r="BC23" s="889">
        <v>2051</v>
      </c>
      <c r="BD23" s="889">
        <v>2052</v>
      </c>
      <c r="BE23" s="889">
        <v>2053</v>
      </c>
      <c r="BF23" s="889">
        <v>2054</v>
      </c>
      <c r="BG23" s="889">
        <v>2055</v>
      </c>
      <c r="BH23" s="889">
        <v>2056</v>
      </c>
      <c r="BI23" s="889">
        <v>2057</v>
      </c>
      <c r="BJ23" s="889">
        <v>2058</v>
      </c>
      <c r="BK23" s="889">
        <v>2059</v>
      </c>
      <c r="BL23" s="889">
        <v>2060</v>
      </c>
      <c r="BM23" s="889">
        <v>2061</v>
      </c>
      <c r="BN23" s="889">
        <v>2062</v>
      </c>
      <c r="BO23" s="889">
        <v>2063</v>
      </c>
      <c r="BP23" s="889">
        <v>2064</v>
      </c>
      <c r="BQ23" s="889">
        <v>2065</v>
      </c>
      <c r="BR23" s="889">
        <v>2066</v>
      </c>
      <c r="BS23" s="889">
        <v>2067</v>
      </c>
      <c r="BT23" s="889">
        <v>2068</v>
      </c>
      <c r="BU23" s="889">
        <v>2069</v>
      </c>
      <c r="BV23" s="890">
        <v>2070</v>
      </c>
      <c r="BW23" s="1399">
        <f t="shared" ref="BW23" si="60">+BV23+1</f>
        <v>2071</v>
      </c>
      <c r="BX23" s="1399">
        <f t="shared" ref="BX23" si="61">+BW23+1</f>
        <v>2072</v>
      </c>
      <c r="BY23" s="1399">
        <f t="shared" ref="BY23" si="62">+BX23+1</f>
        <v>2073</v>
      </c>
      <c r="BZ23" s="1399">
        <f t="shared" ref="BZ23" si="63">+BY23+1</f>
        <v>2074</v>
      </c>
      <c r="CA23" s="1399">
        <f t="shared" ref="CA23" si="64">+BZ23+1</f>
        <v>2075</v>
      </c>
      <c r="CB23" s="1399">
        <f t="shared" ref="CB23" si="65">+CA23+1</f>
        <v>2076</v>
      </c>
      <c r="CC23" s="1399">
        <f t="shared" ref="CC23" si="66">+CB23+1</f>
        <v>2077</v>
      </c>
      <c r="CD23" s="1399">
        <f t="shared" ref="CD23" si="67">+CC23+1</f>
        <v>2078</v>
      </c>
      <c r="CE23" s="1399">
        <f t="shared" ref="CE23" si="68">+CD23+1</f>
        <v>2079</v>
      </c>
      <c r="CF23" s="1399">
        <f t="shared" ref="CF23" si="69">+CE23+1</f>
        <v>2080</v>
      </c>
      <c r="CG23" s="1399">
        <f t="shared" ref="CG23" si="70">+CF23+1</f>
        <v>2081</v>
      </c>
      <c r="CH23" s="1399">
        <f t="shared" ref="CH23" si="71">+CG23+1</f>
        <v>2082</v>
      </c>
      <c r="CI23" s="1399">
        <f t="shared" ref="CI23" si="72">+CH23+1</f>
        <v>2083</v>
      </c>
      <c r="CJ23" s="1399">
        <f t="shared" ref="CJ23" si="73">+CI23+1</f>
        <v>2084</v>
      </c>
      <c r="CK23" s="1399">
        <f t="shared" ref="CK23" si="74">+CJ23+1</f>
        <v>2085</v>
      </c>
      <c r="CL23" s="1399">
        <f t="shared" ref="CL23" si="75">+CK23+1</f>
        <v>2086</v>
      </c>
      <c r="CM23" s="1399">
        <f t="shared" ref="CM23" si="76">+CL23+1</f>
        <v>2087</v>
      </c>
      <c r="CN23" s="1399">
        <f t="shared" ref="CN23" si="77">+CM23+1</f>
        <v>2088</v>
      </c>
      <c r="CO23" s="1399">
        <f t="shared" ref="CO23" si="78">+CN23+1</f>
        <v>2089</v>
      </c>
      <c r="CP23" s="1399">
        <f t="shared" ref="CP23" si="79">+CO23+1</f>
        <v>2090</v>
      </c>
      <c r="CQ23" s="1399">
        <f t="shared" ref="CQ23" si="80">+CP23+1</f>
        <v>2091</v>
      </c>
      <c r="CR23" s="1399">
        <f t="shared" ref="CR23" si="81">+CQ23+1</f>
        <v>2092</v>
      </c>
      <c r="CS23" s="1399">
        <f t="shared" ref="CS23" si="82">+CR23+1</f>
        <v>2093</v>
      </c>
      <c r="CT23" s="1399">
        <f t="shared" ref="CT23" si="83">+CS23+1</f>
        <v>2094</v>
      </c>
      <c r="CU23" s="1399">
        <f t="shared" ref="CU23" si="84">+CT23+1</f>
        <v>2095</v>
      </c>
      <c r="CV23" s="1399">
        <f t="shared" ref="CV23" si="85">+CU23+1</f>
        <v>2096</v>
      </c>
      <c r="CW23" s="1399">
        <f t="shared" ref="CW23" si="86">+CV23+1</f>
        <v>2097</v>
      </c>
      <c r="CX23" s="1399">
        <f t="shared" ref="CX23" si="87">+CW23+1</f>
        <v>2098</v>
      </c>
      <c r="CY23" s="1399">
        <f t="shared" ref="CY23" si="88">+CX23+1</f>
        <v>2099</v>
      </c>
      <c r="CZ23" s="1399">
        <f t="shared" ref="CZ23" si="89">+CY23+1</f>
        <v>2100</v>
      </c>
    </row>
    <row r="24" spans="1:104" ht="13" thickBot="1" x14ac:dyDescent="0.3">
      <c r="A24" s="958" t="s">
        <v>1090</v>
      </c>
      <c r="B24" s="959"/>
      <c r="C24" s="959"/>
      <c r="D24" s="959"/>
      <c r="E24" s="959"/>
      <c r="F24" s="871"/>
      <c r="G24" s="959"/>
      <c r="H24" s="959"/>
      <c r="I24" s="959"/>
      <c r="J24" s="959"/>
      <c r="K24" s="959"/>
      <c r="L24" s="959"/>
      <c r="M24" s="959"/>
      <c r="N24" s="959"/>
      <c r="O24" s="959"/>
      <c r="P24" s="959"/>
      <c r="Q24" s="959"/>
      <c r="R24" s="959"/>
      <c r="S24" s="959"/>
      <c r="T24" s="959"/>
      <c r="U24" s="959"/>
      <c r="V24" s="959"/>
      <c r="W24" s="959"/>
      <c r="X24" s="959"/>
      <c r="Y24" s="959"/>
      <c r="Z24" s="959"/>
      <c r="AA24" s="959"/>
      <c r="AB24" s="959"/>
      <c r="AC24" s="959"/>
      <c r="AD24" s="959"/>
      <c r="AE24" s="959"/>
      <c r="AF24" s="959"/>
      <c r="AG24" s="959"/>
      <c r="AH24" s="959"/>
      <c r="AI24" s="959"/>
      <c r="AJ24" s="959"/>
      <c r="AK24" s="959"/>
      <c r="AL24" s="959"/>
      <c r="AM24" s="959"/>
      <c r="AN24" s="959"/>
      <c r="AO24" s="959"/>
      <c r="AP24" s="959"/>
      <c r="AQ24" s="959"/>
      <c r="AR24" s="959"/>
      <c r="AS24" s="959"/>
      <c r="AT24" s="959"/>
      <c r="AU24" s="959"/>
      <c r="AV24" s="959"/>
      <c r="AW24" s="959"/>
      <c r="AX24" s="959"/>
      <c r="AY24" s="959"/>
      <c r="AZ24" s="959"/>
      <c r="BA24" s="959"/>
      <c r="BC24" s="959"/>
      <c r="BD24" s="959"/>
      <c r="BE24" s="959"/>
      <c r="BF24" s="959"/>
      <c r="BG24" s="959"/>
      <c r="BH24" s="959"/>
      <c r="BI24" s="959"/>
      <c r="BJ24" s="959"/>
      <c r="BK24" s="959"/>
      <c r="BL24" s="959"/>
      <c r="BM24" s="959"/>
      <c r="BN24" s="959"/>
      <c r="BO24" s="959"/>
      <c r="BP24" s="959"/>
      <c r="BR24" s="959"/>
      <c r="BS24" s="959"/>
      <c r="BT24" s="959"/>
      <c r="BU24" s="959"/>
    </row>
    <row r="25" spans="1:104" ht="13" x14ac:dyDescent="0.3">
      <c r="A25" s="978" t="str">
        <f>'HyARC Physical Property Data'!A73</f>
        <v>Residential Natural Gas</v>
      </c>
      <c r="B25" s="959">
        <v>2011</v>
      </c>
      <c r="C25" s="960">
        <f>VLOOKUP(ref_year,DeflatorTable,2,FALSE)/VLOOKUP(B25,DeflatorTable,2,FALSE)</f>
        <v>1.0784554773635862</v>
      </c>
      <c r="D25" s="1246" t="str">
        <f>'HyARC Physical Property Data'!H73</f>
        <v>mmBtu</v>
      </c>
      <c r="E25" s="960" t="s">
        <v>1058</v>
      </c>
      <c r="F25" s="959">
        <f>'HyARC Physical Property Data'!$E$6</f>
        <v>47.141269049911173</v>
      </c>
      <c r="G25" s="959">
        <f>'HyARC Physical Property Data'!$I$6</f>
        <v>52.224661236371581</v>
      </c>
      <c r="H25" s="1068">
        <v>14.386141835345208</v>
      </c>
      <c r="I25" s="1068">
        <v>14.386141835345208</v>
      </c>
      <c r="J25" s="1068">
        <v>14.386141835345208</v>
      </c>
      <c r="K25" s="1068">
        <v>13.326716630976858</v>
      </c>
      <c r="L25" s="1068">
        <v>13.627764477872551</v>
      </c>
      <c r="M25" s="1068">
        <v>11.254339733155913</v>
      </c>
      <c r="N25" s="959">
        <f t="shared" ref="N25:AR25" si="90">((N42/(mmBTU_to_GJ))*($C25))*($G25/$F25)</f>
        <v>12.864072624231563</v>
      </c>
      <c r="O25" s="959">
        <f t="shared" si="90"/>
        <v>12.23325661230241</v>
      </c>
      <c r="P25" s="959">
        <f t="shared" si="90"/>
        <v>11.850527062684614</v>
      </c>
      <c r="Q25" s="959">
        <f t="shared" si="90"/>
        <v>11.865842495866545</v>
      </c>
      <c r="R25" s="959">
        <f t="shared" si="90"/>
        <v>11.611695090166418</v>
      </c>
      <c r="S25" s="959">
        <f t="shared" si="90"/>
        <v>11.50138750593943</v>
      </c>
      <c r="T25" s="959">
        <f t="shared" si="90"/>
        <v>12.075204376866452</v>
      </c>
      <c r="U25" s="959">
        <f t="shared" si="90"/>
        <v>12.446344297440779</v>
      </c>
      <c r="V25" s="959">
        <f t="shared" si="90"/>
        <v>12.907270435435697</v>
      </c>
      <c r="W25" s="959">
        <f t="shared" si="90"/>
        <v>13.164777859640022</v>
      </c>
      <c r="X25" s="959">
        <f t="shared" si="90"/>
        <v>13.336162585082695</v>
      </c>
      <c r="Y25" s="959">
        <f t="shared" si="90"/>
        <v>13.544264034469807</v>
      </c>
      <c r="Z25" s="959">
        <f t="shared" si="90"/>
        <v>13.819651921148951</v>
      </c>
      <c r="AA25" s="959">
        <f t="shared" si="90"/>
        <v>14.079086797828554</v>
      </c>
      <c r="AB25" s="959">
        <f t="shared" si="90"/>
        <v>14.2515190517904</v>
      </c>
      <c r="AC25" s="959">
        <f t="shared" si="90"/>
        <v>14.353207458115314</v>
      </c>
      <c r="AD25" s="959">
        <f t="shared" si="90"/>
        <v>14.54298904928118</v>
      </c>
      <c r="AE25" s="959">
        <f t="shared" si="90"/>
        <v>14.646583391279357</v>
      </c>
      <c r="AF25" s="959">
        <f t="shared" si="90"/>
        <v>14.81893750527599</v>
      </c>
      <c r="AG25" s="959">
        <f t="shared" si="90"/>
        <v>14.987454833734297</v>
      </c>
      <c r="AH25" s="959">
        <f t="shared" si="90"/>
        <v>15.139899111087075</v>
      </c>
      <c r="AI25" s="959">
        <f t="shared" si="90"/>
        <v>15.341580626230741</v>
      </c>
      <c r="AJ25" s="959">
        <f t="shared" si="90"/>
        <v>15.539442342785032</v>
      </c>
      <c r="AK25" s="959">
        <f t="shared" si="90"/>
        <v>15.781889138041823</v>
      </c>
      <c r="AL25" s="959">
        <f t="shared" si="90"/>
        <v>16.136390908341905</v>
      </c>
      <c r="AM25" s="959">
        <f t="shared" si="90"/>
        <v>16.532635274551915</v>
      </c>
      <c r="AN25" s="959">
        <f t="shared" si="90"/>
        <v>17.01379173629439</v>
      </c>
      <c r="AO25" s="959">
        <f t="shared" si="90"/>
        <v>17.457934768717273</v>
      </c>
      <c r="AP25" s="959">
        <f t="shared" si="90"/>
        <v>17.940794455208763</v>
      </c>
      <c r="AQ25" s="959">
        <f t="shared" si="90"/>
        <v>18.182559507580642</v>
      </c>
      <c r="AR25" s="959">
        <f t="shared" si="90"/>
        <v>18.530579058157759</v>
      </c>
      <c r="AS25" s="959">
        <f>($BB25-$AR25)/10+AR25</f>
        <v>18.537819201300856</v>
      </c>
      <c r="AT25" s="959">
        <f t="shared" ref="AT25:BA25" si="91">($BB25-$AR25)/10+AS25</f>
        <v>18.545059344443953</v>
      </c>
      <c r="AU25" s="959">
        <f t="shared" si="91"/>
        <v>18.552299487587049</v>
      </c>
      <c r="AV25" s="959">
        <f t="shared" si="91"/>
        <v>18.559539630730146</v>
      </c>
      <c r="AW25" s="959">
        <f t="shared" si="91"/>
        <v>18.566779773873243</v>
      </c>
      <c r="AX25" s="959">
        <f t="shared" si="91"/>
        <v>18.57401991701634</v>
      </c>
      <c r="AY25" s="959">
        <f t="shared" si="91"/>
        <v>18.581260060159437</v>
      </c>
      <c r="AZ25" s="959">
        <f t="shared" si="91"/>
        <v>18.588500203302534</v>
      </c>
      <c r="BA25" s="959">
        <f t="shared" si="91"/>
        <v>18.595740346445631</v>
      </c>
      <c r="BB25" s="961">
        <f>'AEO Data'!$B$30*AM25</f>
        <v>18.602980489588727</v>
      </c>
      <c r="BC25" s="959">
        <f>($BQ25-$BB25)/15+BB25</f>
        <v>18.754563729723429</v>
      </c>
      <c r="BD25" s="959">
        <f t="shared" ref="BD25:BP25" si="92">($BQ25-$BB25)/15+BC25</f>
        <v>18.906146969858131</v>
      </c>
      <c r="BE25" s="959">
        <f t="shared" si="92"/>
        <v>19.057730209992833</v>
      </c>
      <c r="BF25" s="959">
        <f t="shared" si="92"/>
        <v>19.209313450127535</v>
      </c>
      <c r="BG25" s="959">
        <f t="shared" si="92"/>
        <v>19.360896690262237</v>
      </c>
      <c r="BH25" s="959">
        <f t="shared" si="92"/>
        <v>19.512479930396939</v>
      </c>
      <c r="BI25" s="959">
        <f t="shared" si="92"/>
        <v>19.664063170531641</v>
      </c>
      <c r="BJ25" s="959">
        <f t="shared" si="92"/>
        <v>19.815646410666343</v>
      </c>
      <c r="BK25" s="959">
        <f t="shared" si="92"/>
        <v>19.967229650801045</v>
      </c>
      <c r="BL25" s="959">
        <f t="shared" si="92"/>
        <v>20.118812890935747</v>
      </c>
      <c r="BM25" s="959">
        <f t="shared" si="92"/>
        <v>20.270396131070449</v>
      </c>
      <c r="BN25" s="959">
        <f t="shared" si="92"/>
        <v>20.42197937120515</v>
      </c>
      <c r="BO25" s="959">
        <f t="shared" si="92"/>
        <v>20.573562611339852</v>
      </c>
      <c r="BP25" s="959">
        <f t="shared" si="92"/>
        <v>20.725145851474554</v>
      </c>
      <c r="BQ25" s="961">
        <f>'AEO Data'!$C$30*BB25</f>
        <v>20.876729091609249</v>
      </c>
      <c r="BR25" s="959">
        <f>($BV25-$BQ25)/5+BQ25</f>
        <v>20.996057748553792</v>
      </c>
      <c r="BS25" s="959">
        <f>($BV25-$BQ25)/5+BR25</f>
        <v>21.115386405498334</v>
      </c>
      <c r="BT25" s="959">
        <f>($BV25-$BQ25)/5+BS25</f>
        <v>21.234715062442877</v>
      </c>
      <c r="BU25" s="959">
        <f>($BV25-$BQ25)/5+BT25</f>
        <v>21.35404371938742</v>
      </c>
      <c r="BV25" s="962">
        <f>'AEO Data'!$D$30*BQ25</f>
        <v>21.473372376331962</v>
      </c>
      <c r="BW25" s="1398">
        <f>+BV25*BW$133/BV$133</f>
        <v>21.544670286660121</v>
      </c>
      <c r="BX25" s="1398">
        <f t="shared" ref="BX25:CZ25" si="93">+BW25*BX$133/BW$133</f>
        <v>21.616204927015033</v>
      </c>
      <c r="BY25" s="1398">
        <f t="shared" si="93"/>
        <v>21.687977083409997</v>
      </c>
      <c r="BZ25" s="1398">
        <f t="shared" si="93"/>
        <v>21.759987544468107</v>
      </c>
      <c r="CA25" s="1398">
        <f t="shared" si="93"/>
        <v>21.832237101430913</v>
      </c>
      <c r="CB25" s="1398">
        <f t="shared" si="93"/>
        <v>21.878825528741867</v>
      </c>
      <c r="CC25" s="1398">
        <f t="shared" si="93"/>
        <v>21.925513372413558</v>
      </c>
      <c r="CD25" s="1398">
        <f t="shared" si="93"/>
        <v>21.972300844593363</v>
      </c>
      <c r="CE25" s="1398">
        <f t="shared" si="93"/>
        <v>22.01918815788137</v>
      </c>
      <c r="CF25" s="1398">
        <f t="shared" si="93"/>
        <v>22.066175525331335</v>
      </c>
      <c r="CG25" s="1398">
        <f t="shared" si="93"/>
        <v>22.081432025482624</v>
      </c>
      <c r="CH25" s="1398">
        <f t="shared" si="93"/>
        <v>22.096699073941053</v>
      </c>
      <c r="CI25" s="1398">
        <f t="shared" si="93"/>
        <v>22.111976677999699</v>
      </c>
      <c r="CJ25" s="1398">
        <f t="shared" si="93"/>
        <v>22.127264844956677</v>
      </c>
      <c r="CK25" s="1398">
        <f t="shared" si="93"/>
        <v>22.142563582115145</v>
      </c>
      <c r="CL25" s="1398">
        <f t="shared" si="93"/>
        <v>22.147749174896123</v>
      </c>
      <c r="CM25" s="1398">
        <f t="shared" si="93"/>
        <v>22.152935982097123</v>
      </c>
      <c r="CN25" s="1398">
        <f t="shared" si="93"/>
        <v>22.158124004002548</v>
      </c>
      <c r="CO25" s="1398">
        <f t="shared" si="93"/>
        <v>22.163313240896873</v>
      </c>
      <c r="CP25" s="1398">
        <f t="shared" si="93"/>
        <v>22.16850369306464</v>
      </c>
      <c r="CQ25" s="1398">
        <f t="shared" si="93"/>
        <v>22.176370321670593</v>
      </c>
      <c r="CR25" s="1398">
        <f t="shared" si="93"/>
        <v>22.184239741797636</v>
      </c>
      <c r="CS25" s="1398">
        <f t="shared" si="93"/>
        <v>22.19211195443636</v>
      </c>
      <c r="CT25" s="1398">
        <f t="shared" si="93"/>
        <v>22.199986960577704</v>
      </c>
      <c r="CU25" s="1398">
        <f t="shared" si="93"/>
        <v>22.207864761212956</v>
      </c>
      <c r="CV25" s="1398">
        <f t="shared" si="93"/>
        <v>22.219988729743012</v>
      </c>
      <c r="CW25" s="1398">
        <f t="shared" si="93"/>
        <v>22.232119317126994</v>
      </c>
      <c r="CX25" s="1398">
        <f t="shared" si="93"/>
        <v>22.244256526978344</v>
      </c>
      <c r="CY25" s="1398">
        <f t="shared" si="93"/>
        <v>22.256400362912476</v>
      </c>
      <c r="CZ25" s="1398">
        <f t="shared" si="93"/>
        <v>22.268550828546775</v>
      </c>
    </row>
    <row r="26" spans="1:104" ht="13" x14ac:dyDescent="0.3">
      <c r="A26" s="875" t="str">
        <f>'HyARC Physical Property Data'!A71</f>
        <v>Commercial Natural Gas</v>
      </c>
      <c r="B26" s="260">
        <v>2011</v>
      </c>
      <c r="C26" s="874">
        <f>VLOOKUP(ref_year,DeflatorTable,2,FALSE)/VLOOKUP(B26,DeflatorTable,2,FALSE)</f>
        <v>1.0784554773635862</v>
      </c>
      <c r="D26" s="1247" t="str">
        <f>'HyARC Physical Property Data'!H71</f>
        <v>mmBtu</v>
      </c>
      <c r="E26" s="874" t="s">
        <v>1058</v>
      </c>
      <c r="F26" s="260">
        <f>'HyARC Physical Property Data'!$E$6</f>
        <v>47.141269049911173</v>
      </c>
      <c r="G26" s="260">
        <f>'HyARC Physical Property Data'!$I$6</f>
        <v>52.224661236371581</v>
      </c>
      <c r="H26" s="1069">
        <v>12.491836786393147</v>
      </c>
      <c r="I26" s="1069">
        <v>12.491836786393147</v>
      </c>
      <c r="J26" s="1069">
        <v>12.491836786393147</v>
      </c>
      <c r="K26" s="1069">
        <v>11.540201846875071</v>
      </c>
      <c r="L26" s="1069">
        <v>11.906633267965836</v>
      </c>
      <c r="M26" s="1069">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9">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9">
        <f>'AEO Data'!$C$30*BB26</f>
        <v>16.705094767552271</v>
      </c>
      <c r="BR26" s="260">
        <f t="shared" ref="BR26:BU28" si="97">($BV26-$BQ26)/5+BQ26</f>
        <v>16.800578907524393</v>
      </c>
      <c r="BS26" s="260">
        <f t="shared" si="97"/>
        <v>16.896063047496515</v>
      </c>
      <c r="BT26" s="260">
        <f t="shared" si="97"/>
        <v>16.991547187468637</v>
      </c>
      <c r="BU26" s="260">
        <f t="shared" si="97"/>
        <v>17.087031327440759</v>
      </c>
      <c r="BV26" s="963">
        <f>'AEO Data'!$D$30*BQ26</f>
        <v>17.182515467412887</v>
      </c>
      <c r="BW26" s="1398">
        <f>+BV26*BW$134/BV$134</f>
        <v>17.239566471118206</v>
      </c>
      <c r="BX26" s="1398">
        <f t="shared" ref="BX26:CZ26" si="98">+BW26*BX$134/BW$134</f>
        <v>17.296806900931124</v>
      </c>
      <c r="BY26" s="1398">
        <f t="shared" si="98"/>
        <v>17.354237385802019</v>
      </c>
      <c r="BZ26" s="1398">
        <f t="shared" si="98"/>
        <v>17.41185855676957</v>
      </c>
      <c r="CA26" s="1398">
        <f t="shared" si="98"/>
        <v>17.469671046967683</v>
      </c>
      <c r="CB26" s="1398">
        <f t="shared" si="98"/>
        <v>17.506950071372589</v>
      </c>
      <c r="CC26" s="1398">
        <f t="shared" si="98"/>
        <v>17.544308646540465</v>
      </c>
      <c r="CD26" s="1398">
        <f t="shared" si="98"/>
        <v>17.581746942226928</v>
      </c>
      <c r="CE26" s="1398">
        <f t="shared" si="98"/>
        <v>17.619265128549845</v>
      </c>
      <c r="CF26" s="1398">
        <f t="shared" si="98"/>
        <v>17.656863375990099</v>
      </c>
      <c r="CG26" s="1398">
        <f t="shared" si="98"/>
        <v>17.669071288433191</v>
      </c>
      <c r="CH26" s="1398">
        <f t="shared" si="98"/>
        <v>17.681287641397287</v>
      </c>
      <c r="CI26" s="1398">
        <f t="shared" si="98"/>
        <v>17.693512440718141</v>
      </c>
      <c r="CJ26" s="1398">
        <f t="shared" si="98"/>
        <v>17.705745692235549</v>
      </c>
      <c r="CK26" s="1398">
        <f t="shared" si="98"/>
        <v>17.717987401793337</v>
      </c>
      <c r="CL26" s="1398">
        <f t="shared" si="98"/>
        <v>17.722136797920101</v>
      </c>
      <c r="CM26" s="1398">
        <f t="shared" si="98"/>
        <v>17.726287165798784</v>
      </c>
      <c r="CN26" s="1398">
        <f t="shared" si="98"/>
        <v>17.730438505656959</v>
      </c>
      <c r="CO26" s="1398">
        <f t="shared" si="98"/>
        <v>17.734590817722253</v>
      </c>
      <c r="CP26" s="1398">
        <f t="shared" si="98"/>
        <v>17.738744102222352</v>
      </c>
      <c r="CQ26" s="1398">
        <f t="shared" si="98"/>
        <v>17.745038803647411</v>
      </c>
      <c r="CR26" s="1398">
        <f t="shared" si="98"/>
        <v>17.751335738785624</v>
      </c>
      <c r="CS26" s="1398">
        <f t="shared" si="98"/>
        <v>17.75763490842964</v>
      </c>
      <c r="CT26" s="1398">
        <f t="shared" si="98"/>
        <v>17.763936313372383</v>
      </c>
      <c r="CU26" s="1398">
        <f t="shared" si="98"/>
        <v>17.770239954407064</v>
      </c>
      <c r="CV26" s="1398">
        <f t="shared" si="98"/>
        <v>17.779941284647286</v>
      </c>
      <c r="CW26" s="1398">
        <f t="shared" si="98"/>
        <v>17.789647911147362</v>
      </c>
      <c r="CX26" s="1398">
        <f t="shared" si="98"/>
        <v>17.799359836798683</v>
      </c>
      <c r="CY26" s="1398">
        <f t="shared" si="98"/>
        <v>17.809077064494225</v>
      </c>
      <c r="CZ26" s="1398">
        <f t="shared" si="98"/>
        <v>17.818799597128535</v>
      </c>
    </row>
    <row r="27" spans="1:104" ht="13" x14ac:dyDescent="0.3">
      <c r="A27" s="875" t="str">
        <f>'HyARC Physical Property Data'!A72</f>
        <v>Industrial Natural Gas</v>
      </c>
      <c r="B27" s="260">
        <v>2011</v>
      </c>
      <c r="C27" s="874">
        <f t="shared" ref="C27:C35" si="99">VLOOKUP(ref_year,DeflatorTable,2,FALSE)/VLOOKUP(B27,DeflatorTable,2,FALSE)</f>
        <v>1.0784554773635862</v>
      </c>
      <c r="D27" s="1247" t="str">
        <f>'HyARC Physical Property Data'!H72</f>
        <v>mmBtu</v>
      </c>
      <c r="E27" s="874" t="s">
        <v>1058</v>
      </c>
      <c r="F27" s="260">
        <f>'HyARC Physical Property Data'!$E$6</f>
        <v>47.141269049911173</v>
      </c>
      <c r="G27" s="260">
        <f>'HyARC Physical Property Data'!$I$6</f>
        <v>52.224661236371581</v>
      </c>
      <c r="H27" s="1069">
        <v>8.3524006010892204</v>
      </c>
      <c r="I27" s="1069">
        <v>8.3524006010892204</v>
      </c>
      <c r="J27" s="1069">
        <v>8.3524006010892204</v>
      </c>
      <c r="K27" s="1069">
        <v>7.891606632326889</v>
      </c>
      <c r="L27" s="1069">
        <v>9.2420298006250725</v>
      </c>
      <c r="M27" s="1069">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9">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9">
        <f>'AEO Data'!$C$30*BB27</f>
        <v>10.647150755989088</v>
      </c>
      <c r="BR27" s="260">
        <f t="shared" si="97"/>
        <v>10.708008479170871</v>
      </c>
      <c r="BS27" s="260">
        <f t="shared" si="97"/>
        <v>10.768866202352655</v>
      </c>
      <c r="BT27" s="260">
        <f t="shared" si="97"/>
        <v>10.829723925534438</v>
      </c>
      <c r="BU27" s="260">
        <f t="shared" si="97"/>
        <v>10.890581648716221</v>
      </c>
      <c r="BV27" s="963">
        <f>'AEO Data'!$D$30*BQ27</f>
        <v>10.951439371898008</v>
      </c>
      <c r="BW27" s="1398">
        <f>+BV27*BW$135/BV$135</f>
        <v>10.987801370778188</v>
      </c>
      <c r="BX27" s="1398">
        <f t="shared" ref="BX27:CZ27" si="102">+BW27*BX$135/BW$135</f>
        <v>11.024284102186545</v>
      </c>
      <c r="BY27" s="1398">
        <f t="shared" si="102"/>
        <v>11.060887966990576</v>
      </c>
      <c r="BZ27" s="1398">
        <f t="shared" si="102"/>
        <v>11.097613367388767</v>
      </c>
      <c r="CA27" s="1398">
        <f t="shared" si="102"/>
        <v>11.134460706915034</v>
      </c>
      <c r="CB27" s="1398">
        <f t="shared" si="102"/>
        <v>11.158220847063788</v>
      </c>
      <c r="CC27" s="1398">
        <f t="shared" si="102"/>
        <v>11.18203168964661</v>
      </c>
      <c r="CD27" s="1398">
        <f t="shared" si="102"/>
        <v>11.205893342858859</v>
      </c>
      <c r="CE27" s="1398">
        <f t="shared" si="102"/>
        <v>11.229805915126768</v>
      </c>
      <c r="CF27" s="1398">
        <f t="shared" si="102"/>
        <v>11.253769515107949</v>
      </c>
      <c r="CG27" s="1398">
        <f t="shared" si="102"/>
        <v>11.261550344011113</v>
      </c>
      <c r="CH27" s="1398">
        <f t="shared" si="102"/>
        <v>11.26933655256048</v>
      </c>
      <c r="CI27" s="1398">
        <f t="shared" si="102"/>
        <v>11.277128144475522</v>
      </c>
      <c r="CJ27" s="1398">
        <f t="shared" si="102"/>
        <v>11.284925123478285</v>
      </c>
      <c r="CK27" s="1398">
        <f t="shared" si="102"/>
        <v>11.292727493293389</v>
      </c>
      <c r="CL27" s="1398">
        <f t="shared" si="102"/>
        <v>11.295372150311067</v>
      </c>
      <c r="CM27" s="1398">
        <f t="shared" si="102"/>
        <v>11.298017426684055</v>
      </c>
      <c r="CN27" s="1398">
        <f t="shared" si="102"/>
        <v>11.300663322557401</v>
      </c>
      <c r="CO27" s="1398">
        <f t="shared" si="102"/>
        <v>11.303309838076188</v>
      </c>
      <c r="CP27" s="1398">
        <f t="shared" si="102"/>
        <v>11.305956973385531</v>
      </c>
      <c r="CQ27" s="1398">
        <f t="shared" si="102"/>
        <v>11.309968961103596</v>
      </c>
      <c r="CR27" s="1398">
        <f t="shared" si="102"/>
        <v>11.31398237249995</v>
      </c>
      <c r="CS27" s="1398">
        <f t="shared" si="102"/>
        <v>11.317997208079792</v>
      </c>
      <c r="CT27" s="1398">
        <f t="shared" si="102"/>
        <v>11.3220134683485</v>
      </c>
      <c r="CU27" s="1398">
        <f t="shared" si="102"/>
        <v>11.326031153811636</v>
      </c>
      <c r="CV27" s="1398">
        <f t="shared" si="102"/>
        <v>11.332214388749156</v>
      </c>
      <c r="CW27" s="1398">
        <f t="shared" si="102"/>
        <v>11.338400999308178</v>
      </c>
      <c r="CX27" s="1398">
        <f t="shared" si="102"/>
        <v>11.344590987331557</v>
      </c>
      <c r="CY27" s="1398">
        <f t="shared" si="102"/>
        <v>11.350784354663158</v>
      </c>
      <c r="CZ27" s="1398">
        <f t="shared" si="102"/>
        <v>11.356981103147852</v>
      </c>
    </row>
    <row r="28" spans="1:104" ht="13" x14ac:dyDescent="0.3">
      <c r="A28" s="875" t="str">
        <f>'HyARC Physical Property Data'!A74</f>
        <v>Electric Utility Natural Gas</v>
      </c>
      <c r="B28" s="260">
        <v>2011</v>
      </c>
      <c r="C28" s="874">
        <f t="shared" si="99"/>
        <v>1.0784554773635862</v>
      </c>
      <c r="D28" s="1260" t="str">
        <f>'HyARC Physical Property Data'!H74</f>
        <v>mmBtu</v>
      </c>
      <c r="E28" s="874" t="s">
        <v>1058</v>
      </c>
      <c r="F28" s="260">
        <f>'HyARC Physical Property Data'!$E$6</f>
        <v>47.141269049911173</v>
      </c>
      <c r="G28" s="260">
        <f>'HyARC Physical Property Data'!$I$6</f>
        <v>52.224661236371581</v>
      </c>
      <c r="H28" s="1069">
        <v>7.4079259090132386</v>
      </c>
      <c r="I28" s="1069">
        <v>7.4079259090132386</v>
      </c>
      <c r="J28" s="1069">
        <v>7.4079259090132386</v>
      </c>
      <c r="K28" s="1069">
        <v>7.3706710915002853</v>
      </c>
      <c r="L28" s="1069">
        <v>9.3158925097981644</v>
      </c>
      <c r="M28" s="1069">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9">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9">
        <f>'AEO Data'!$C$30*BB28</f>
        <v>9.9822321396511793</v>
      </c>
      <c r="BR28" s="260">
        <f t="shared" si="97"/>
        <v>10.039289274861693</v>
      </c>
      <c r="BS28" s="260">
        <f t="shared" si="97"/>
        <v>10.096346410072206</v>
      </c>
      <c r="BT28" s="260">
        <f t="shared" si="97"/>
        <v>10.153403545282719</v>
      </c>
      <c r="BU28" s="260">
        <f t="shared" si="97"/>
        <v>10.210460680493233</v>
      </c>
      <c r="BV28" s="963">
        <f>'AEO Data'!$D$30*BQ28</f>
        <v>10.26751781570375</v>
      </c>
      <c r="BW28" s="1398">
        <f>+BV28*BW$136/BV$136</f>
        <v>10.301608993916805</v>
      </c>
      <c r="BX28" s="1398">
        <f t="shared" ref="BX28:CZ28" si="105">+BW28*BX$136/BW$136</f>
        <v>10.335813364865709</v>
      </c>
      <c r="BY28" s="1398">
        <f t="shared" si="105"/>
        <v>10.37013130438363</v>
      </c>
      <c r="BZ28" s="1398">
        <f t="shared" si="105"/>
        <v>10.404563189551611</v>
      </c>
      <c r="CA28" s="1398">
        <f t="shared" si="105"/>
        <v>10.439109398702717</v>
      </c>
      <c r="CB28" s="1398">
        <f t="shared" si="105"/>
        <v>10.461385709057588</v>
      </c>
      <c r="CC28" s="1398">
        <f t="shared" si="105"/>
        <v>10.483709555460226</v>
      </c>
      <c r="CD28" s="1398">
        <f t="shared" si="105"/>
        <v>10.506081039349146</v>
      </c>
      <c r="CE28" s="1398">
        <f t="shared" si="105"/>
        <v>10.528500262379325</v>
      </c>
      <c r="CF28" s="1398">
        <f t="shared" si="105"/>
        <v>10.550967326422667</v>
      </c>
      <c r="CG28" s="1398">
        <f t="shared" si="105"/>
        <v>10.558262239599943</v>
      </c>
      <c r="CH28" s="1398">
        <f t="shared" si="105"/>
        <v>10.565562196462466</v>
      </c>
      <c r="CI28" s="1398">
        <f t="shared" si="105"/>
        <v>10.572867200497431</v>
      </c>
      <c r="CJ28" s="1398">
        <f t="shared" si="105"/>
        <v>10.580177255194439</v>
      </c>
      <c r="CK28" s="1398">
        <f t="shared" si="105"/>
        <v>10.587492364045506</v>
      </c>
      <c r="CL28" s="1398">
        <f t="shared" si="105"/>
        <v>10.589971861226042</v>
      </c>
      <c r="CM28" s="1398">
        <f t="shared" si="105"/>
        <v>10.592451939082915</v>
      </c>
      <c r="CN28" s="1398">
        <f t="shared" si="105"/>
        <v>10.594932597752113</v>
      </c>
      <c r="CO28" s="1398">
        <f t="shared" si="105"/>
        <v>10.597413837369656</v>
      </c>
      <c r="CP28" s="1398">
        <f t="shared" si="105"/>
        <v>10.599895658071597</v>
      </c>
      <c r="CQ28" s="1398">
        <f t="shared" si="105"/>
        <v>10.603657095629963</v>
      </c>
      <c r="CR28" s="1398">
        <f t="shared" si="105"/>
        <v>10.607419867957365</v>
      </c>
      <c r="CS28" s="1398">
        <f t="shared" si="105"/>
        <v>10.611183975527453</v>
      </c>
      <c r="CT28" s="1398">
        <f t="shared" si="105"/>
        <v>10.614949418814046</v>
      </c>
      <c r="CU28" s="1398">
        <f t="shared" si="105"/>
        <v>10.618716198291134</v>
      </c>
      <c r="CV28" s="1398">
        <f t="shared" si="105"/>
        <v>10.624513287853858</v>
      </c>
      <c r="CW28" s="1398">
        <f t="shared" si="105"/>
        <v>10.630313542229239</v>
      </c>
      <c r="CX28" s="1398">
        <f t="shared" si="105"/>
        <v>10.636116963145044</v>
      </c>
      <c r="CY28" s="1398">
        <f t="shared" si="105"/>
        <v>10.641923552329986</v>
      </c>
      <c r="CZ28" s="1398">
        <f t="shared" si="105"/>
        <v>10.647733311513726</v>
      </c>
    </row>
    <row r="29" spans="1:104" ht="13" x14ac:dyDescent="0.3">
      <c r="A29" s="875" t="str">
        <f>'HyARC Physical Property Data'!A75</f>
        <v>Bio Methane</v>
      </c>
      <c r="B29" s="260">
        <v>2007</v>
      </c>
      <c r="C29" s="874">
        <f t="shared" si="99"/>
        <v>1.1446359956438654</v>
      </c>
      <c r="D29" s="1260" t="str">
        <f>'HyARC Physical Property Data'!H75</f>
        <v>mmBtu</v>
      </c>
      <c r="E29" s="874" t="s">
        <v>1058</v>
      </c>
      <c r="F29" s="260">
        <f>'HyARC Physical Property Data'!$E$6</f>
        <v>47.141269049911173</v>
      </c>
      <c r="G29" s="260">
        <f>'HyARC Physical Property Data'!$I$6</f>
        <v>52.224661236371581</v>
      </c>
      <c r="H29" s="1069">
        <v>12.42654028436019</v>
      </c>
      <c r="I29" s="1069">
        <v>12.42654028436019</v>
      </c>
      <c r="J29" s="1069">
        <v>12.42654028436019</v>
      </c>
      <c r="K29" s="1069">
        <v>12.42654028436019</v>
      </c>
      <c r="L29" s="1069">
        <v>12.42654028436019</v>
      </c>
      <c r="M29" s="1069">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98">
        <f>+BV29*BW$136/BV$136</f>
        <v>14.271092726019944</v>
      </c>
      <c r="BX29" s="1398">
        <f t="shared" ref="BX29:CZ29" si="108">+BW29*BX$136/BW$136</f>
        <v>14.318476950147966</v>
      </c>
      <c r="BY29" s="1398">
        <f t="shared" si="108"/>
        <v>14.366018503832969</v>
      </c>
      <c r="BZ29" s="1398">
        <f t="shared" si="108"/>
        <v>14.413717909455341</v>
      </c>
      <c r="CA29" s="1398">
        <f t="shared" si="108"/>
        <v>14.461575691129934</v>
      </c>
      <c r="CB29" s="1398">
        <f t="shared" si="108"/>
        <v>14.49243565590395</v>
      </c>
      <c r="CC29" s="1398">
        <f t="shared" si="108"/>
        <v>14.523361473628309</v>
      </c>
      <c r="CD29" s="1398">
        <f t="shared" si="108"/>
        <v>14.554353284828478</v>
      </c>
      <c r="CE29" s="1398">
        <f t="shared" si="108"/>
        <v>14.585411230329802</v>
      </c>
      <c r="CF29" s="1398">
        <f t="shared" si="108"/>
        <v>14.616535451258134</v>
      </c>
      <c r="CG29" s="1398">
        <f t="shared" si="108"/>
        <v>14.626641288360148</v>
      </c>
      <c r="CH29" s="1398">
        <f t="shared" si="108"/>
        <v>14.636754112613382</v>
      </c>
      <c r="CI29" s="1398">
        <f t="shared" si="108"/>
        <v>14.646873928848736</v>
      </c>
      <c r="CJ29" s="1398">
        <f t="shared" si="108"/>
        <v>14.657000741900452</v>
      </c>
      <c r="CK29" s="1398">
        <f t="shared" si="108"/>
        <v>14.667134556606111</v>
      </c>
      <c r="CL29" s="1398">
        <f t="shared" si="108"/>
        <v>14.670569469948116</v>
      </c>
      <c r="CM29" s="1398">
        <f t="shared" si="108"/>
        <v>14.674005187716483</v>
      </c>
      <c r="CN29" s="1398">
        <f t="shared" si="108"/>
        <v>14.6774417100996</v>
      </c>
      <c r="CO29" s="1398">
        <f t="shared" si="108"/>
        <v>14.6808790372859</v>
      </c>
      <c r="CP29" s="1398">
        <f t="shared" si="108"/>
        <v>14.684317169463862</v>
      </c>
      <c r="CQ29" s="1398">
        <f t="shared" si="108"/>
        <v>14.689527988881515</v>
      </c>
      <c r="CR29" s="1398">
        <f t="shared" si="108"/>
        <v>14.69474065739019</v>
      </c>
      <c r="CS29" s="1398">
        <f t="shared" si="108"/>
        <v>14.699955175646044</v>
      </c>
      <c r="CT29" s="1398">
        <f t="shared" si="108"/>
        <v>14.705171544305472</v>
      </c>
      <c r="CU29" s="1398">
        <f t="shared" si="108"/>
        <v>14.710389764025104</v>
      </c>
      <c r="CV29" s="1398">
        <f t="shared" si="108"/>
        <v>14.718420626266095</v>
      </c>
      <c r="CW29" s="1398">
        <f t="shared" si="108"/>
        <v>14.726455872806168</v>
      </c>
      <c r="CX29" s="1398">
        <f t="shared" si="108"/>
        <v>14.734495506038849</v>
      </c>
      <c r="CY29" s="1398">
        <f t="shared" si="108"/>
        <v>14.74253952835897</v>
      </c>
      <c r="CZ29" s="1398">
        <f t="shared" si="108"/>
        <v>14.750587942162673</v>
      </c>
    </row>
    <row r="30" spans="1:104" ht="13" x14ac:dyDescent="0.3">
      <c r="A30" s="964" t="str">
        <f>'HyARC Physical Property Data'!A85</f>
        <v>Woody Biomass</v>
      </c>
      <c r="B30" s="260">
        <v>2005</v>
      </c>
      <c r="C30" s="874">
        <f>VLOOKUP(ref_year,DeflatorTable,2,FALSE)/VLOOKUP(B30,DeflatorTable,2,FALSE)</f>
        <v>1.2112501494873942</v>
      </c>
      <c r="D30" s="1260" t="str">
        <f>+'HyARC Physical Property Data'!$H$85</f>
        <v>kg</v>
      </c>
      <c r="E30" s="901" t="s">
        <v>1052</v>
      </c>
      <c r="F30" s="260">
        <f>'HyARC Physical Property Data'!$E$45</f>
        <v>19.551069237418005</v>
      </c>
      <c r="G30" s="260">
        <f>'HyARC Physical Property Data'!$I$45</f>
        <v>20.588656379262464</v>
      </c>
      <c r="H30" s="1070">
        <v>1.3438238843289665</v>
      </c>
      <c r="I30" s="1070">
        <v>1.3438238843289665</v>
      </c>
      <c r="J30" s="1070">
        <v>1.3438238843289665</v>
      </c>
      <c r="K30" s="1070">
        <v>1.3438238843289665</v>
      </c>
      <c r="L30" s="1070">
        <v>1.3438238843289665</v>
      </c>
      <c r="M30" s="1070">
        <v>1.3438238843289665</v>
      </c>
      <c r="N30" s="965">
        <f>1.27*($C$30)</f>
        <v>1.5382876898489906</v>
      </c>
      <c r="O30" s="965">
        <f>1.27*($C$30)</f>
        <v>1.5382876898489906</v>
      </c>
      <c r="P30" s="965">
        <f>1.28*($C$30)</f>
        <v>1.5504001913438645</v>
      </c>
      <c r="Q30" s="965">
        <f>1.32*($C$30)</f>
        <v>1.5988501973233604</v>
      </c>
      <c r="R30" s="965">
        <f>1.32*($C$30)</f>
        <v>1.5988501973233604</v>
      </c>
      <c r="S30" s="965">
        <f>1.34*($C$30)</f>
        <v>1.6230752003131084</v>
      </c>
      <c r="T30" s="965">
        <f>1.34*($C$30)</f>
        <v>1.6230752003131084</v>
      </c>
      <c r="U30" s="965">
        <f>1.36*($C$30)</f>
        <v>1.6473002033028561</v>
      </c>
      <c r="V30" s="965">
        <f>1.36*($C$30)</f>
        <v>1.6473002033028561</v>
      </c>
      <c r="W30" s="965">
        <f>1.38*($C$30)</f>
        <v>1.6715252062926038</v>
      </c>
      <c r="X30" s="965">
        <f>1.4*($C$30)</f>
        <v>1.6957502092823518</v>
      </c>
      <c r="Y30" s="965">
        <f>1.46*($C$30)</f>
        <v>1.7684252182515954</v>
      </c>
      <c r="Z30" s="965">
        <f>1.48*($C$30)</f>
        <v>1.7926502212413433</v>
      </c>
      <c r="AA30" s="965">
        <f>1.48*($C$30)</f>
        <v>1.7926502212413433</v>
      </c>
      <c r="AB30" s="965">
        <f>1.51*($C$30)</f>
        <v>1.8289877257259652</v>
      </c>
      <c r="AC30" s="965">
        <f>1.52*($C$30)</f>
        <v>1.8411002272208392</v>
      </c>
      <c r="AD30" s="965">
        <f>1.62*($C$30)</f>
        <v>1.9622252421695787</v>
      </c>
      <c r="AE30" s="965">
        <f>1.72*($C$30)</f>
        <v>2.083350257118318</v>
      </c>
      <c r="AF30" s="965">
        <f>1.82*($C$30)</f>
        <v>2.2044752720670573</v>
      </c>
      <c r="AG30" s="965">
        <f>1.91*($C$30)</f>
        <v>2.3134877855209228</v>
      </c>
      <c r="AH30" s="965">
        <f>2.01*($C$30)</f>
        <v>2.4346128004696621</v>
      </c>
      <c r="AI30" s="965">
        <f>2.11*($C$30)</f>
        <v>2.5557378154184014</v>
      </c>
      <c r="AJ30" s="965">
        <f>2.2*($C$30)</f>
        <v>2.6647503288722674</v>
      </c>
      <c r="AK30" s="965">
        <f>2.3*($C$30)</f>
        <v>2.7858753438210062</v>
      </c>
      <c r="AL30" s="965">
        <f>2.4*($C$30)</f>
        <v>2.9070003587697459</v>
      </c>
      <c r="AM30" s="965">
        <f>2.5*($C$30)</f>
        <v>3.0281253737184857</v>
      </c>
      <c r="AN30" s="965">
        <f>2.57*($C$30)</f>
        <v>3.1129128841826028</v>
      </c>
      <c r="AO30" s="965">
        <f>2.64*($C$30)</f>
        <v>3.1977003946467208</v>
      </c>
      <c r="AP30" s="965">
        <f>2.71*($C$30)</f>
        <v>3.282487905110838</v>
      </c>
      <c r="AQ30" s="965">
        <f>2.78*($C$30)</f>
        <v>3.3672754155749556</v>
      </c>
      <c r="AR30" s="965">
        <f>2.85*($C$30)</f>
        <v>3.4520629260390736</v>
      </c>
      <c r="AS30" s="965">
        <f>2.92*($C$30)</f>
        <v>3.5368504365031908</v>
      </c>
      <c r="AT30" s="965">
        <f>2.99*($C$30)</f>
        <v>3.6216379469673088</v>
      </c>
      <c r="AU30" s="965">
        <f>3.07*($C$30)</f>
        <v>3.7185379589263001</v>
      </c>
      <c r="AV30" s="965">
        <f>3.14*($C$30)</f>
        <v>3.8033254693904177</v>
      </c>
      <c r="AW30" s="965">
        <f>3.21*($C$30)</f>
        <v>3.8881129798545353</v>
      </c>
      <c r="AX30" s="965">
        <f>3.28*($C$30)</f>
        <v>3.9729004903186529</v>
      </c>
      <c r="AY30" s="965">
        <f>3.35*($C$30)</f>
        <v>4.0576880007827709</v>
      </c>
      <c r="AZ30" s="965">
        <f>3.42*($C$30)</f>
        <v>4.1424755112468876</v>
      </c>
      <c r="BA30" s="965">
        <f>3.49*($C$30)</f>
        <v>4.2272630217110061</v>
      </c>
      <c r="BB30" s="965">
        <f>3.56*($C$30)</f>
        <v>4.3120505321751237</v>
      </c>
      <c r="BC30" s="965">
        <f>3.64*($C$30)</f>
        <v>4.4089505441341146</v>
      </c>
      <c r="BD30" s="965">
        <f>3.71*($C$30)</f>
        <v>4.4937380545982322</v>
      </c>
      <c r="BE30" s="965">
        <f>3.78*($C$30)</f>
        <v>4.5785255650623498</v>
      </c>
      <c r="BF30" s="965">
        <f>3.85*($C$30)</f>
        <v>4.6633130755264673</v>
      </c>
      <c r="BG30" s="965">
        <f>3.92*($C$30)</f>
        <v>4.7481005859905849</v>
      </c>
      <c r="BH30" s="965">
        <f>3.99*($C$30)</f>
        <v>4.8328880964547034</v>
      </c>
      <c r="BI30" s="965">
        <f>4.06*($C$30)</f>
        <v>4.9176756069188201</v>
      </c>
      <c r="BJ30" s="965">
        <f>4.14*($C$30)</f>
        <v>5.0145756188778119</v>
      </c>
      <c r="BK30" s="965">
        <f>4.21*($C$30)</f>
        <v>5.0993631293419295</v>
      </c>
      <c r="BL30" s="965">
        <f>4.28*($C$30)</f>
        <v>5.1841506398060471</v>
      </c>
      <c r="BM30" s="965">
        <f>4.35*($C$30)</f>
        <v>5.2689381502701647</v>
      </c>
      <c r="BN30" s="965">
        <f>4.42*($C$30)</f>
        <v>5.3537256607342822</v>
      </c>
      <c r="BO30" s="965">
        <f>4.49*($C$30)</f>
        <v>5.4385131711983998</v>
      </c>
      <c r="BP30" s="965">
        <f>4.56*($C$30)</f>
        <v>5.5233006816625174</v>
      </c>
      <c r="BQ30" s="965">
        <f>4.63*($C$30)</f>
        <v>5.608088192126635</v>
      </c>
      <c r="BR30" s="965">
        <f>4.71*($C$30)</f>
        <v>5.7049882040856268</v>
      </c>
      <c r="BS30" s="965">
        <f>4.78*($C$30)</f>
        <v>5.7897757145497444</v>
      </c>
      <c r="BT30" s="965">
        <f>4.85*($C$30)</f>
        <v>5.8745632250138611</v>
      </c>
      <c r="BU30" s="965">
        <f>4.92*($C$30)</f>
        <v>5.9593507354779796</v>
      </c>
      <c r="BV30" s="966">
        <f>4.99*($C$30)</f>
        <v>6.0441382459420971</v>
      </c>
      <c r="BW30" s="1398">
        <f>+BV30*BW$137/BV$137</f>
        <v>6.0586659764672328</v>
      </c>
      <c r="BX30" s="1398">
        <f t="shared" ref="BX30:CZ30" si="109">+BW30*BX$137/BW$137</f>
        <v>6.0732286259412112</v>
      </c>
      <c r="BY30" s="1398">
        <f t="shared" si="109"/>
        <v>6.0878262782954495</v>
      </c>
      <c r="BZ30" s="1398">
        <f t="shared" si="109"/>
        <v>6.1024590176630999</v>
      </c>
      <c r="CA30" s="1398">
        <f t="shared" si="109"/>
        <v>6.1171269283795393</v>
      </c>
      <c r="CB30" s="1398">
        <f t="shared" si="109"/>
        <v>6.1299667153690152</v>
      </c>
      <c r="CC30" s="1398">
        <f t="shared" si="109"/>
        <v>6.1428334529403346</v>
      </c>
      <c r="CD30" s="1398">
        <f t="shared" si="109"/>
        <v>6.155727197662495</v>
      </c>
      <c r="CE30" s="1398">
        <f t="shared" si="109"/>
        <v>6.1686480062232301</v>
      </c>
      <c r="CF30" s="1398">
        <f t="shared" si="109"/>
        <v>6.18159593542926</v>
      </c>
      <c r="CG30" s="1398">
        <f t="shared" si="109"/>
        <v>6.197524392005751</v>
      </c>
      <c r="CH30" s="1398">
        <f t="shared" si="109"/>
        <v>6.2134938923080965</v>
      </c>
      <c r="CI30" s="1398">
        <f t="shared" si="109"/>
        <v>6.229504542095909</v>
      </c>
      <c r="CJ30" s="1398">
        <f t="shared" si="109"/>
        <v>6.245556447401321</v>
      </c>
      <c r="CK30" s="1398">
        <f t="shared" si="109"/>
        <v>6.2616497145296828</v>
      </c>
      <c r="CL30" s="1398">
        <f t="shared" si="109"/>
        <v>6.2750522655841658</v>
      </c>
      <c r="CM30" s="1398">
        <f t="shared" si="109"/>
        <v>6.2884835037072264</v>
      </c>
      <c r="CN30" s="1398">
        <f t="shared" si="109"/>
        <v>6.3019434903011975</v>
      </c>
      <c r="CO30" s="1398">
        <f t="shared" si="109"/>
        <v>6.3154322868998385</v>
      </c>
      <c r="CP30" s="1398">
        <f t="shared" si="109"/>
        <v>6.3289499551686168</v>
      </c>
      <c r="CQ30" s="1398">
        <f t="shared" si="109"/>
        <v>6.3413225489579119</v>
      </c>
      <c r="CR30" s="1398">
        <f t="shared" si="109"/>
        <v>6.3537193301840116</v>
      </c>
      <c r="CS30" s="1398">
        <f t="shared" si="109"/>
        <v>6.3661403461314299</v>
      </c>
      <c r="CT30" s="1398">
        <f t="shared" si="109"/>
        <v>6.3785856441771198</v>
      </c>
      <c r="CU30" s="1398">
        <f t="shared" si="109"/>
        <v>6.3910552717906537</v>
      </c>
      <c r="CV30" s="1398">
        <f t="shared" si="109"/>
        <v>6.4057772391562917</v>
      </c>
      <c r="CW30" s="1398">
        <f t="shared" si="109"/>
        <v>6.4205331189689208</v>
      </c>
      <c r="CX30" s="1398">
        <f t="shared" si="109"/>
        <v>6.4353229893467718</v>
      </c>
      <c r="CY30" s="1398">
        <f t="shared" si="109"/>
        <v>6.4501469285880244</v>
      </c>
      <c r="CZ30" s="1398">
        <f t="shared" si="109"/>
        <v>6.4650050151712186</v>
      </c>
    </row>
    <row r="31" spans="1:104" ht="13" x14ac:dyDescent="0.3">
      <c r="A31" s="964" t="str">
        <f>'HyARC Physical Property Data'!$A$87</f>
        <v>Woody Biomass MYPP</v>
      </c>
      <c r="B31" s="260">
        <v>2007</v>
      </c>
      <c r="C31" s="874">
        <f>VLOOKUP(ref_year,DeflatorTable,2,FALSE)/VLOOKUP(B31,DeflatorTable,2,FALSE)</f>
        <v>1.1446359956438654</v>
      </c>
      <c r="D31" s="1260" t="str">
        <f>+'HyARC Physical Property Data'!$H$87</f>
        <v>kg</v>
      </c>
      <c r="E31" s="901" t="s">
        <v>1052</v>
      </c>
      <c r="F31" s="260">
        <v>18.608000000000001</v>
      </c>
      <c r="G31" s="260"/>
      <c r="H31" s="1069">
        <v>4.4443250214961303</v>
      </c>
      <c r="I31" s="1069">
        <v>4.4443250214961303</v>
      </c>
      <c r="J31" s="1069">
        <v>4.4443250214961303</v>
      </c>
      <c r="K31" s="1069">
        <v>4.4443250214961303</v>
      </c>
      <c r="L31" s="1069">
        <v>4.4443250214961303</v>
      </c>
      <c r="M31" s="1069">
        <v>4.4443250214961303</v>
      </c>
      <c r="N31" s="260">
        <f>4.44432502149613*$C$31</f>
        <v>5.0871343959451663</v>
      </c>
      <c r="O31" s="965">
        <f t="shared" ref="O31:T31" si="110">N31-($N$31-$U$31)/7</f>
        <v>4.9664808197552768</v>
      </c>
      <c r="P31" s="965">
        <f t="shared" si="110"/>
        <v>4.8458272435653873</v>
      </c>
      <c r="Q31" s="965">
        <f t="shared" si="110"/>
        <v>4.7251736673754978</v>
      </c>
      <c r="R31" s="965">
        <f t="shared" si="110"/>
        <v>4.6045200911856083</v>
      </c>
      <c r="S31" s="965">
        <f t="shared" si="110"/>
        <v>4.4838665149957189</v>
      </c>
      <c r="T31" s="965">
        <f t="shared" si="110"/>
        <v>4.3632129388058294</v>
      </c>
      <c r="U31" s="965">
        <f>3.70647033533964*$C$31</f>
        <v>4.2425593626159408</v>
      </c>
      <c r="V31" s="965">
        <f t="shared" ref="V31:BV31" si="111">3.70647033533964*$C$31</f>
        <v>4.2425593626159408</v>
      </c>
      <c r="W31" s="965">
        <f t="shared" si="111"/>
        <v>4.2425593626159408</v>
      </c>
      <c r="X31" s="965">
        <f t="shared" si="111"/>
        <v>4.2425593626159408</v>
      </c>
      <c r="Y31" s="965">
        <f t="shared" si="111"/>
        <v>4.2425593626159408</v>
      </c>
      <c r="Z31" s="965">
        <f t="shared" si="111"/>
        <v>4.2425593626159408</v>
      </c>
      <c r="AA31" s="965">
        <f t="shared" si="111"/>
        <v>4.2425593626159408</v>
      </c>
      <c r="AB31" s="965">
        <f t="shared" si="111"/>
        <v>4.2425593626159408</v>
      </c>
      <c r="AC31" s="965">
        <f t="shared" si="111"/>
        <v>4.2425593626159408</v>
      </c>
      <c r="AD31" s="965">
        <f t="shared" si="111"/>
        <v>4.2425593626159408</v>
      </c>
      <c r="AE31" s="965">
        <f t="shared" si="111"/>
        <v>4.2425593626159408</v>
      </c>
      <c r="AF31" s="965">
        <f t="shared" si="111"/>
        <v>4.2425593626159408</v>
      </c>
      <c r="AG31" s="965">
        <f t="shared" si="111"/>
        <v>4.2425593626159408</v>
      </c>
      <c r="AH31" s="965">
        <f t="shared" si="111"/>
        <v>4.2425593626159408</v>
      </c>
      <c r="AI31" s="965">
        <f t="shared" si="111"/>
        <v>4.2425593626159408</v>
      </c>
      <c r="AJ31" s="965">
        <f t="shared" si="111"/>
        <v>4.2425593626159408</v>
      </c>
      <c r="AK31" s="965">
        <f t="shared" si="111"/>
        <v>4.2425593626159408</v>
      </c>
      <c r="AL31" s="965">
        <f t="shared" si="111"/>
        <v>4.2425593626159408</v>
      </c>
      <c r="AM31" s="965">
        <f t="shared" si="111"/>
        <v>4.2425593626159408</v>
      </c>
      <c r="AN31" s="965">
        <f t="shared" si="111"/>
        <v>4.2425593626159408</v>
      </c>
      <c r="AO31" s="965">
        <f t="shared" si="111"/>
        <v>4.2425593626159408</v>
      </c>
      <c r="AP31" s="965">
        <f t="shared" si="111"/>
        <v>4.2425593626159408</v>
      </c>
      <c r="AQ31" s="965">
        <f t="shared" si="111"/>
        <v>4.2425593626159408</v>
      </c>
      <c r="AR31" s="965">
        <f t="shared" si="111"/>
        <v>4.2425593626159408</v>
      </c>
      <c r="AS31" s="965">
        <f t="shared" si="111"/>
        <v>4.2425593626159408</v>
      </c>
      <c r="AT31" s="965">
        <f t="shared" si="111"/>
        <v>4.2425593626159408</v>
      </c>
      <c r="AU31" s="965">
        <f t="shared" si="111"/>
        <v>4.2425593626159408</v>
      </c>
      <c r="AV31" s="965">
        <f t="shared" si="111"/>
        <v>4.2425593626159408</v>
      </c>
      <c r="AW31" s="965">
        <f t="shared" si="111"/>
        <v>4.2425593626159408</v>
      </c>
      <c r="AX31" s="965">
        <f t="shared" si="111"/>
        <v>4.2425593626159408</v>
      </c>
      <c r="AY31" s="965">
        <f t="shared" si="111"/>
        <v>4.2425593626159408</v>
      </c>
      <c r="AZ31" s="965">
        <f t="shared" si="111"/>
        <v>4.2425593626159408</v>
      </c>
      <c r="BA31" s="965">
        <f t="shared" si="111"/>
        <v>4.2425593626159408</v>
      </c>
      <c r="BB31" s="965">
        <f t="shared" si="111"/>
        <v>4.2425593626159408</v>
      </c>
      <c r="BC31" s="965">
        <f t="shared" si="111"/>
        <v>4.2425593626159408</v>
      </c>
      <c r="BD31" s="965">
        <f t="shared" si="111"/>
        <v>4.2425593626159408</v>
      </c>
      <c r="BE31" s="965">
        <f t="shared" si="111"/>
        <v>4.2425593626159408</v>
      </c>
      <c r="BF31" s="965">
        <f t="shared" si="111"/>
        <v>4.2425593626159408</v>
      </c>
      <c r="BG31" s="965">
        <f t="shared" si="111"/>
        <v>4.2425593626159408</v>
      </c>
      <c r="BH31" s="965">
        <f t="shared" si="111"/>
        <v>4.2425593626159408</v>
      </c>
      <c r="BI31" s="965">
        <f t="shared" si="111"/>
        <v>4.2425593626159408</v>
      </c>
      <c r="BJ31" s="965">
        <f t="shared" si="111"/>
        <v>4.2425593626159408</v>
      </c>
      <c r="BK31" s="965">
        <f t="shared" si="111"/>
        <v>4.2425593626159408</v>
      </c>
      <c r="BL31" s="965">
        <f t="shared" si="111"/>
        <v>4.2425593626159408</v>
      </c>
      <c r="BM31" s="965">
        <f t="shared" si="111"/>
        <v>4.2425593626159408</v>
      </c>
      <c r="BN31" s="965">
        <f t="shared" si="111"/>
        <v>4.2425593626159408</v>
      </c>
      <c r="BO31" s="965">
        <f t="shared" si="111"/>
        <v>4.2425593626159408</v>
      </c>
      <c r="BP31" s="965">
        <f t="shared" si="111"/>
        <v>4.2425593626159408</v>
      </c>
      <c r="BQ31" s="965">
        <f t="shared" si="111"/>
        <v>4.2425593626159408</v>
      </c>
      <c r="BR31" s="965">
        <f t="shared" si="111"/>
        <v>4.2425593626159408</v>
      </c>
      <c r="BS31" s="965">
        <f t="shared" si="111"/>
        <v>4.2425593626159408</v>
      </c>
      <c r="BT31" s="965">
        <f t="shared" si="111"/>
        <v>4.2425593626159408</v>
      </c>
      <c r="BU31" s="965">
        <f t="shared" si="111"/>
        <v>4.2425593626159408</v>
      </c>
      <c r="BV31" s="965">
        <f t="shared" si="111"/>
        <v>4.2425593626159408</v>
      </c>
      <c r="BW31" s="1398">
        <f>+BV31*BW$137/BV$137</f>
        <v>4.2527568062628252</v>
      </c>
      <c r="BX31" s="1398">
        <f t="shared" ref="BX31:CZ31" si="112">+BW31*BX$137/BW$137</f>
        <v>4.2629787605524712</v>
      </c>
      <c r="BY31" s="1398">
        <f t="shared" si="112"/>
        <v>4.2732252843988219</v>
      </c>
      <c r="BZ31" s="1398">
        <f t="shared" si="112"/>
        <v>4.2834964368574244</v>
      </c>
      <c r="CA31" s="1398">
        <f t="shared" si="112"/>
        <v>4.2937922771257746</v>
      </c>
      <c r="CB31" s="1398">
        <f t="shared" si="112"/>
        <v>4.302804903291757</v>
      </c>
      <c r="CC31" s="1398">
        <f t="shared" si="112"/>
        <v>4.3118364468680763</v>
      </c>
      <c r="CD31" s="1398">
        <f t="shared" si="112"/>
        <v>4.3208869475621841</v>
      </c>
      <c r="CE31" s="1398">
        <f t="shared" si="112"/>
        <v>4.3299564451648767</v>
      </c>
      <c r="CF31" s="1398">
        <f t="shared" si="112"/>
        <v>4.3390449795504713</v>
      </c>
      <c r="CG31" s="1398">
        <f t="shared" si="112"/>
        <v>4.3502256342328796</v>
      </c>
      <c r="CH31" s="1398">
        <f t="shared" si="112"/>
        <v>4.361435098720146</v>
      </c>
      <c r="CI31" s="1398">
        <f t="shared" si="112"/>
        <v>4.3726734472480695</v>
      </c>
      <c r="CJ31" s="1398">
        <f t="shared" si="112"/>
        <v>4.3839407542437394</v>
      </c>
      <c r="CK31" s="1398">
        <f t="shared" si="112"/>
        <v>4.3952370943260251</v>
      </c>
      <c r="CL31" s="1398">
        <f t="shared" si="112"/>
        <v>4.4046447412304142</v>
      </c>
      <c r="CM31" s="1398">
        <f t="shared" si="112"/>
        <v>4.4140725244365262</v>
      </c>
      <c r="CN31" s="1398">
        <f t="shared" si="112"/>
        <v>4.4235204870444758</v>
      </c>
      <c r="CO31" s="1398">
        <f t="shared" si="112"/>
        <v>4.4329886722466272</v>
      </c>
      <c r="CP31" s="1398">
        <f t="shared" si="112"/>
        <v>4.4424771233277953</v>
      </c>
      <c r="CQ31" s="1398">
        <f t="shared" si="112"/>
        <v>4.4511618127714661</v>
      </c>
      <c r="CR31" s="1398">
        <f t="shared" si="112"/>
        <v>4.4598634800922632</v>
      </c>
      <c r="CS31" s="1398">
        <f t="shared" si="112"/>
        <v>4.4685821584805847</v>
      </c>
      <c r="CT31" s="1398">
        <f t="shared" si="112"/>
        <v>4.4773178811917154</v>
      </c>
      <c r="CU31" s="1398">
        <f t="shared" si="112"/>
        <v>4.486070681545951</v>
      </c>
      <c r="CV31" s="1398">
        <f t="shared" si="112"/>
        <v>4.4964044657748525</v>
      </c>
      <c r="CW31" s="1398">
        <f t="shared" si="112"/>
        <v>4.5067620541531026</v>
      </c>
      <c r="CX31" s="1398">
        <f t="shared" si="112"/>
        <v>4.5171435015141972</v>
      </c>
      <c r="CY31" s="1398">
        <f t="shared" si="112"/>
        <v>4.5275488628179446</v>
      </c>
      <c r="CZ31" s="1398">
        <f t="shared" si="112"/>
        <v>4.537978193150753</v>
      </c>
    </row>
    <row r="32" spans="1:104" ht="13" x14ac:dyDescent="0.3">
      <c r="A32" s="970" t="str">
        <f>'HyARC Physical Property Data'!A79</f>
        <v>Electric Utility Steam Coal</v>
      </c>
      <c r="B32" s="260">
        <v>2011</v>
      </c>
      <c r="C32" s="874">
        <f>VLOOKUP(ref_year,DeflatorTable,2,FALSE)/VLOOKUP(B32,DeflatorTable,2,FALSE)</f>
        <v>1.0784554773635862</v>
      </c>
      <c r="D32" s="1260" t="str">
        <f>+'HyARC Physical Property Data'!$H$79</f>
        <v>kg</v>
      </c>
      <c r="E32" s="901" t="s">
        <v>1052</v>
      </c>
      <c r="F32" s="260">
        <f>'HyARC Physical Property Data'!E42</f>
        <v>22.7322030001394</v>
      </c>
      <c r="G32" s="260">
        <f>'HyARC Physical Property Data'!I42</f>
        <v>23.967615189707661</v>
      </c>
      <c r="H32" s="1069">
        <v>1.7344499599167666</v>
      </c>
      <c r="I32" s="1069">
        <v>1.7344499599167666</v>
      </c>
      <c r="J32" s="1069">
        <v>1.7344499599167666</v>
      </c>
      <c r="K32" s="1069">
        <v>1.7788973636542149</v>
      </c>
      <c r="L32" s="1069">
        <v>1.9298772179141501</v>
      </c>
      <c r="M32" s="1069">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9">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9">
        <f>('AEO Data'!$C$28*BB32)</f>
        <v>3.6036422854995251</v>
      </c>
      <c r="BR32" s="260">
        <f>(($BV$32-$BQ$32)/5+BQ32)</f>
        <v>3.6151952056451568</v>
      </c>
      <c r="BS32" s="260">
        <f>(($BV$32-$BQ$32)/5+BR32)</f>
        <v>3.6267481257907885</v>
      </c>
      <c r="BT32" s="260">
        <f>(($BV$32-$BQ$32)/5+BS32)</f>
        <v>3.6383010459364202</v>
      </c>
      <c r="BU32" s="260">
        <f>(($BV$32-$BQ$32)/5+BT32)</f>
        <v>3.6498539660820519</v>
      </c>
      <c r="BV32" s="963">
        <f>('AEO Data'!$D$28*BQ32)</f>
        <v>3.6614068862276832</v>
      </c>
      <c r="BW32" s="1398">
        <f>+BV32*BW$138/BV$138</f>
        <v>3.6737859390461725</v>
      </c>
      <c r="BX32" s="1398">
        <f t="shared" ref="BX32:CZ32" si="116">+BW32*BX$138/BW$138</f>
        <v>3.6862068448882255</v>
      </c>
      <c r="BY32" s="1398">
        <f t="shared" si="116"/>
        <v>3.6986697452570407</v>
      </c>
      <c r="BZ32" s="1398">
        <f t="shared" si="116"/>
        <v>3.7111747821342336</v>
      </c>
      <c r="CA32" s="1398">
        <f t="shared" si="116"/>
        <v>3.7237220979814545</v>
      </c>
      <c r="CB32" s="1398">
        <f t="shared" si="116"/>
        <v>3.7343836989714818</v>
      </c>
      <c r="CC32" s="1398">
        <f t="shared" si="116"/>
        <v>3.7450758257990131</v>
      </c>
      <c r="CD32" s="1398">
        <f t="shared" si="116"/>
        <v>3.7557985658643127</v>
      </c>
      <c r="CE32" s="1398">
        <f t="shared" si="116"/>
        <v>3.766552006817887</v>
      </c>
      <c r="CF32" s="1398">
        <f t="shared" si="116"/>
        <v>3.7773362365611991</v>
      </c>
      <c r="CG32" s="1398">
        <f t="shared" si="116"/>
        <v>3.7855700072018039</v>
      </c>
      <c r="CH32" s="1398">
        <f t="shared" si="116"/>
        <v>3.7938217256698499</v>
      </c>
      <c r="CI32" s="1398">
        <f t="shared" si="116"/>
        <v>3.8020914310876934</v>
      </c>
      <c r="CJ32" s="1398">
        <f t="shared" si="116"/>
        <v>3.8103791626629699</v>
      </c>
      <c r="CK32" s="1398">
        <f t="shared" si="116"/>
        <v>3.818684959688778</v>
      </c>
      <c r="CL32" s="1398">
        <f t="shared" si="116"/>
        <v>3.8243155975254672</v>
      </c>
      <c r="CM32" s="1398">
        <f t="shared" si="116"/>
        <v>3.8299545377182778</v>
      </c>
      <c r="CN32" s="1398">
        <f t="shared" si="116"/>
        <v>3.8356017925090047</v>
      </c>
      <c r="CO32" s="1398">
        <f t="shared" si="116"/>
        <v>3.841257374157494</v>
      </c>
      <c r="CP32" s="1398">
        <f t="shared" si="116"/>
        <v>3.846921294941668</v>
      </c>
      <c r="CQ32" s="1398">
        <f t="shared" si="116"/>
        <v>3.8488180534393406</v>
      </c>
      <c r="CR32" s="1398">
        <f t="shared" si="116"/>
        <v>3.8507157471505309</v>
      </c>
      <c r="CS32" s="1398">
        <f t="shared" si="116"/>
        <v>3.852614376536355</v>
      </c>
      <c r="CT32" s="1398">
        <f t="shared" si="116"/>
        <v>3.8545139420581549</v>
      </c>
      <c r="CU32" s="1398">
        <f t="shared" si="116"/>
        <v>3.8564144441775015</v>
      </c>
      <c r="CV32" s="1398">
        <f t="shared" si="116"/>
        <v>3.853683012772128</v>
      </c>
      <c r="CW32" s="1398">
        <f t="shared" si="116"/>
        <v>3.8509535159922028</v>
      </c>
      <c r="CX32" s="1398">
        <f t="shared" si="116"/>
        <v>3.8482259524674642</v>
      </c>
      <c r="CY32" s="1398">
        <f t="shared" si="116"/>
        <v>3.8455003208286209</v>
      </c>
      <c r="CZ32" s="1398">
        <f t="shared" si="116"/>
        <v>3.8427766197073518</v>
      </c>
    </row>
    <row r="33" spans="1:106" ht="13" x14ac:dyDescent="0.3">
      <c r="A33" s="964" t="str">
        <f>'HyARC Physical Property Data'!A76</f>
        <v>Commercial Electricity</v>
      </c>
      <c r="B33" s="260">
        <v>2011</v>
      </c>
      <c r="C33" s="874">
        <f t="shared" si="99"/>
        <v>1.0784554773635862</v>
      </c>
      <c r="D33" s="1260" t="str">
        <f>'HyARC Physical Property Data'!$H$76</f>
        <v>kWh</v>
      </c>
      <c r="E33" s="874" t="s">
        <v>1071</v>
      </c>
      <c r="F33" s="874"/>
      <c r="G33" s="874"/>
      <c r="H33" s="1069">
        <v>26.896922396257633</v>
      </c>
      <c r="I33" s="1069">
        <v>26.896922396257633</v>
      </c>
      <c r="J33" s="1069">
        <v>26.896922396257633</v>
      </c>
      <c r="K33" s="1069">
        <v>26.568469730033652</v>
      </c>
      <c r="L33" s="1069">
        <v>27.542479456318485</v>
      </c>
      <c r="M33" s="1069">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9">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9">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63">
        <f>'AEO Data'!$D$33*BQ33</f>
        <v>29.720041181041928</v>
      </c>
      <c r="BW33" s="1398">
        <f>+BV33*BW$139/BV$139</f>
        <v>29.706955334848292</v>
      </c>
      <c r="BX33" s="1398">
        <f t="shared" ref="BX33:CZ33" si="121">+BW33*BX$139/BW$139</f>
        <v>29.693875250402076</v>
      </c>
      <c r="BY33" s="1398">
        <f t="shared" si="121"/>
        <v>29.680800925166359</v>
      </c>
      <c r="BZ33" s="1398">
        <f t="shared" si="121"/>
        <v>29.667732356605345</v>
      </c>
      <c r="CA33" s="1398">
        <f t="shared" si="121"/>
        <v>29.654669542184347</v>
      </c>
      <c r="CB33" s="1398">
        <f t="shared" si="121"/>
        <v>29.630916614985676</v>
      </c>
      <c r="CC33" s="1398">
        <f t="shared" si="121"/>
        <v>29.607182713510749</v>
      </c>
      <c r="CD33" s="1398">
        <f t="shared" si="121"/>
        <v>29.583467822520262</v>
      </c>
      <c r="CE33" s="1398">
        <f t="shared" si="121"/>
        <v>29.559771926787111</v>
      </c>
      <c r="CF33" s="1398">
        <f t="shared" si="121"/>
        <v>29.536095011096396</v>
      </c>
      <c r="CG33" s="1398">
        <f t="shared" si="121"/>
        <v>29.503478732865982</v>
      </c>
      <c r="CH33" s="1398">
        <f t="shared" si="121"/>
        <v>29.470898472315131</v>
      </c>
      <c r="CI33" s="1398">
        <f t="shared" si="121"/>
        <v>29.438354189670047</v>
      </c>
      <c r="CJ33" s="1398">
        <f t="shared" si="121"/>
        <v>29.405845845200851</v>
      </c>
      <c r="CK33" s="1398">
        <f t="shared" si="121"/>
        <v>29.373373399221538</v>
      </c>
      <c r="CL33" s="1398">
        <f t="shared" si="121"/>
        <v>29.33797049714088</v>
      </c>
      <c r="CM33" s="1398">
        <f t="shared" si="121"/>
        <v>29.302610265183901</v>
      </c>
      <c r="CN33" s="1398">
        <f t="shared" si="121"/>
        <v>29.267292651921498</v>
      </c>
      <c r="CO33" s="1398">
        <f t="shared" si="121"/>
        <v>29.232017605986552</v>
      </c>
      <c r="CP33" s="1398">
        <f t="shared" si="121"/>
        <v>29.196785076073859</v>
      </c>
      <c r="CQ33" s="1398">
        <f t="shared" si="121"/>
        <v>29.155976606392862</v>
      </c>
      <c r="CR33" s="1398">
        <f t="shared" si="121"/>
        <v>29.115225174882106</v>
      </c>
      <c r="CS33" s="1398">
        <f t="shared" si="121"/>
        <v>29.074530701819103</v>
      </c>
      <c r="CT33" s="1398">
        <f t="shared" si="121"/>
        <v>29.033893107592792</v>
      </c>
      <c r="CU33" s="1398">
        <f t="shared" si="121"/>
        <v>28.993312312703377</v>
      </c>
      <c r="CV33" s="1398">
        <f t="shared" si="121"/>
        <v>28.95369823223389</v>
      </c>
      <c r="CW33" s="1398">
        <f t="shared" si="121"/>
        <v>28.914138277190098</v>
      </c>
      <c r="CX33" s="1398">
        <f t="shared" si="121"/>
        <v>28.874632373619477</v>
      </c>
      <c r="CY33" s="1398">
        <f t="shared" si="121"/>
        <v>28.835180447670528</v>
      </c>
      <c r="CZ33" s="1398">
        <f t="shared" si="121"/>
        <v>28.795782425592659</v>
      </c>
    </row>
    <row r="34" spans="1:106" ht="13" x14ac:dyDescent="0.3">
      <c r="A34" s="964" t="str">
        <f>'HyARC Physical Property Data'!A77</f>
        <v>Industrial Electricity</v>
      </c>
      <c r="B34" s="260">
        <v>2011</v>
      </c>
      <c r="C34" s="874">
        <f t="shared" si="99"/>
        <v>1.0784554773635862</v>
      </c>
      <c r="D34" s="1248" t="str">
        <f>'HyARC Physical Property Data'!$H$77</f>
        <v>kWh</v>
      </c>
      <c r="E34" s="874" t="s">
        <v>1071</v>
      </c>
      <c r="F34" s="874"/>
      <c r="G34" s="874"/>
      <c r="H34" s="1069">
        <v>17.44160584363896</v>
      </c>
      <c r="I34" s="1069">
        <v>17.44160584363896</v>
      </c>
      <c r="J34" s="1069">
        <v>17.44160584363896</v>
      </c>
      <c r="K34" s="1069">
        <v>17.651840860809763</v>
      </c>
      <c r="L34" s="1069">
        <v>19.274322003549859</v>
      </c>
      <c r="M34" s="1069">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9">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9">
        <f>'AEO Data'!$C$33*BB34</f>
        <v>20.908579364602893</v>
      </c>
      <c r="BR34" s="260">
        <f t="shared" si="120"/>
        <v>20.894500568115706</v>
      </c>
      <c r="BS34" s="260">
        <f t="shared" si="120"/>
        <v>20.880421771628519</v>
      </c>
      <c r="BT34" s="260">
        <f t="shared" si="120"/>
        <v>20.866342975141333</v>
      </c>
      <c r="BU34" s="260">
        <f t="shared" si="120"/>
        <v>20.852264178654146</v>
      </c>
      <c r="BV34" s="963">
        <f>'AEO Data'!$D$33*BQ34</f>
        <v>20.838185382166952</v>
      </c>
      <c r="BW34" s="1398">
        <f>+BV34*BW$140/BV$140</f>
        <v>20.844481841022439</v>
      </c>
      <c r="BX34" s="1398">
        <f t="shared" ref="BX34:CZ34" si="125">+BW34*BX$140/BW$140</f>
        <v>20.850780202413748</v>
      </c>
      <c r="BY34" s="1398">
        <f t="shared" si="125"/>
        <v>20.857080466915747</v>
      </c>
      <c r="BZ34" s="1398">
        <f t="shared" si="125"/>
        <v>20.863382635103481</v>
      </c>
      <c r="CA34" s="1398">
        <f t="shared" si="125"/>
        <v>20.869686707552159</v>
      </c>
      <c r="CB34" s="1398">
        <f t="shared" si="125"/>
        <v>20.867326506359717</v>
      </c>
      <c r="CC34" s="1398">
        <f t="shared" si="125"/>
        <v>20.864966572087891</v>
      </c>
      <c r="CD34" s="1398">
        <f t="shared" si="125"/>
        <v>20.862606904706492</v>
      </c>
      <c r="CE34" s="1398">
        <f t="shared" si="125"/>
        <v>20.860247504185345</v>
      </c>
      <c r="CF34" s="1398">
        <f t="shared" si="125"/>
        <v>20.857888370494265</v>
      </c>
      <c r="CG34" s="1398">
        <f t="shared" si="125"/>
        <v>20.848427047697971</v>
      </c>
      <c r="CH34" s="1398">
        <f t="shared" si="125"/>
        <v>20.838970016641447</v>
      </c>
      <c r="CI34" s="1398">
        <f t="shared" si="125"/>
        <v>20.829517275377921</v>
      </c>
      <c r="CJ34" s="1398">
        <f t="shared" si="125"/>
        <v>20.82006882196151</v>
      </c>
      <c r="CK34" s="1398">
        <f t="shared" si="125"/>
        <v>20.810624654447203</v>
      </c>
      <c r="CL34" s="1398">
        <f t="shared" si="125"/>
        <v>20.799038600799683</v>
      </c>
      <c r="CM34" s="1398">
        <f t="shared" si="125"/>
        <v>20.787458997541872</v>
      </c>
      <c r="CN34" s="1398">
        <f t="shared" si="125"/>
        <v>20.775885841082598</v>
      </c>
      <c r="CO34" s="1398">
        <f t="shared" si="125"/>
        <v>20.764319127832685</v>
      </c>
      <c r="CP34" s="1398">
        <f t="shared" si="125"/>
        <v>20.752758854204956</v>
      </c>
      <c r="CQ34" s="1398">
        <f t="shared" si="125"/>
        <v>20.736920704111466</v>
      </c>
      <c r="CR34" s="1398">
        <f t="shared" si="125"/>
        <v>20.721094641422845</v>
      </c>
      <c r="CS34" s="1398">
        <f t="shared" si="125"/>
        <v>20.705280656914191</v>
      </c>
      <c r="CT34" s="1398">
        <f t="shared" si="125"/>
        <v>20.689478741367644</v>
      </c>
      <c r="CU34" s="1398">
        <f t="shared" si="125"/>
        <v>20.673688885572378</v>
      </c>
      <c r="CV34" s="1398">
        <f t="shared" si="125"/>
        <v>20.658843427163145</v>
      </c>
      <c r="CW34" s="1398">
        <f t="shared" si="125"/>
        <v>20.644008629049544</v>
      </c>
      <c r="CX34" s="1398">
        <f t="shared" si="125"/>
        <v>20.629184483576587</v>
      </c>
      <c r="CY34" s="1398">
        <f t="shared" si="125"/>
        <v>20.614370983094769</v>
      </c>
      <c r="CZ34" s="1398">
        <f t="shared" si="125"/>
        <v>20.59956811996009</v>
      </c>
    </row>
    <row r="35" spans="1:106" ht="13.5" thickBot="1" x14ac:dyDescent="0.35">
      <c r="A35" s="967" t="str">
        <f>'HyARC Physical Property Data'!A78</f>
        <v>Residential Electricity</v>
      </c>
      <c r="B35" s="880">
        <v>2011</v>
      </c>
      <c r="C35" s="881">
        <f t="shared" si="99"/>
        <v>1.0784554773635862</v>
      </c>
      <c r="D35" s="1249" t="str">
        <f>'HyARC Physical Property Data'!$H$78</f>
        <v>kWh</v>
      </c>
      <c r="E35" s="881" t="s">
        <v>1071</v>
      </c>
      <c r="F35" s="880"/>
      <c r="G35" s="880"/>
      <c r="H35" s="1071">
        <v>29.579885763014694</v>
      </c>
      <c r="I35" s="1071">
        <v>29.579885763014694</v>
      </c>
      <c r="J35" s="1071">
        <v>29.579885763014694</v>
      </c>
      <c r="K35" s="1071">
        <v>29.556357578078675</v>
      </c>
      <c r="L35" s="1071">
        <v>30.116416605727963</v>
      </c>
      <c r="M35" s="1071">
        <v>29.134443020933652</v>
      </c>
      <c r="N35" s="880">
        <f t="shared" ref="N35:AR35" si="126">(N53/(mmBTU_to_GJ))*($C35)</f>
        <v>35.290357875264071</v>
      </c>
      <c r="O35" s="880">
        <f t="shared" si="126"/>
        <v>35.099254542442559</v>
      </c>
      <c r="P35" s="880">
        <f t="shared" si="126"/>
        <v>34.006324250330664</v>
      </c>
      <c r="Q35" s="880">
        <f t="shared" si="126"/>
        <v>33.273068571129983</v>
      </c>
      <c r="R35" s="880">
        <f t="shared" si="126"/>
        <v>33.741332917168577</v>
      </c>
      <c r="S35" s="880">
        <f t="shared" si="126"/>
        <v>33.797427935481679</v>
      </c>
      <c r="T35" s="880">
        <f t="shared" si="126"/>
        <v>34.324839686615753</v>
      </c>
      <c r="U35" s="880">
        <f t="shared" si="126"/>
        <v>34.578308413009267</v>
      </c>
      <c r="V35" s="880">
        <f t="shared" si="126"/>
        <v>34.586867567238613</v>
      </c>
      <c r="W35" s="880">
        <f t="shared" si="126"/>
        <v>34.390554936680012</v>
      </c>
      <c r="X35" s="880">
        <f t="shared" si="126"/>
        <v>34.362805408349665</v>
      </c>
      <c r="Y35" s="880">
        <f t="shared" si="126"/>
        <v>34.407138617447096</v>
      </c>
      <c r="Z35" s="880">
        <f t="shared" si="126"/>
        <v>34.440296778887124</v>
      </c>
      <c r="AA35" s="880">
        <f t="shared" si="126"/>
        <v>34.452805840191871</v>
      </c>
      <c r="AB35" s="880">
        <f t="shared" si="126"/>
        <v>34.592323223051601</v>
      </c>
      <c r="AC35" s="880">
        <f t="shared" si="126"/>
        <v>34.714384960668241</v>
      </c>
      <c r="AD35" s="880">
        <f t="shared" si="126"/>
        <v>34.884790126185806</v>
      </c>
      <c r="AE35" s="880">
        <f t="shared" si="126"/>
        <v>35.027523453056702</v>
      </c>
      <c r="AF35" s="880">
        <f t="shared" si="126"/>
        <v>35.17875868912688</v>
      </c>
      <c r="AG35" s="880">
        <f t="shared" si="126"/>
        <v>35.278238284610403</v>
      </c>
      <c r="AH35" s="880">
        <f t="shared" si="126"/>
        <v>35.329988814033648</v>
      </c>
      <c r="AI35" s="880">
        <f t="shared" si="126"/>
        <v>35.457572652587459</v>
      </c>
      <c r="AJ35" s="880">
        <f t="shared" si="126"/>
        <v>35.581268940259363</v>
      </c>
      <c r="AK35" s="880">
        <f t="shared" si="126"/>
        <v>35.700168912196872</v>
      </c>
      <c r="AL35" s="880">
        <f t="shared" si="126"/>
        <v>35.86250559517147</v>
      </c>
      <c r="AM35" s="880">
        <f t="shared" si="126"/>
        <v>36.208798160069257</v>
      </c>
      <c r="AN35" s="880">
        <f t="shared" si="126"/>
        <v>36.632705785658793</v>
      </c>
      <c r="AO35" s="880">
        <f t="shared" si="126"/>
        <v>36.980264896847054</v>
      </c>
      <c r="AP35" s="880">
        <f t="shared" si="126"/>
        <v>37.31435507024409</v>
      </c>
      <c r="AQ35" s="880">
        <f t="shared" si="126"/>
        <v>37.726607198816652</v>
      </c>
      <c r="AR35" s="880">
        <f t="shared" si="126"/>
        <v>37.92339618980413</v>
      </c>
      <c r="AS35" s="880">
        <f t="shared" ref="AS35:BA35" si="127">($BB35-$AR35)/10+AR35</f>
        <v>37.661673404423048</v>
      </c>
      <c r="AT35" s="880">
        <f t="shared" si="127"/>
        <v>37.399950619041967</v>
      </c>
      <c r="AU35" s="880">
        <f t="shared" si="127"/>
        <v>37.138227833660885</v>
      </c>
      <c r="AV35" s="880">
        <f t="shared" si="127"/>
        <v>36.876505048279803</v>
      </c>
      <c r="AW35" s="880">
        <f t="shared" si="127"/>
        <v>36.614782262898721</v>
      </c>
      <c r="AX35" s="880">
        <f t="shared" si="127"/>
        <v>36.35305947751764</v>
      </c>
      <c r="AY35" s="880">
        <f t="shared" si="127"/>
        <v>36.091336692136558</v>
      </c>
      <c r="AZ35" s="880">
        <f t="shared" si="127"/>
        <v>35.829613906755476</v>
      </c>
      <c r="BA35" s="880">
        <f t="shared" si="127"/>
        <v>35.567891121374394</v>
      </c>
      <c r="BB35" s="968">
        <f>'AEO Data'!$B$33*AM35</f>
        <v>35.306168335993306</v>
      </c>
      <c r="BC35" s="880">
        <f t="shared" ref="BC35:BP35" si="128">($BQ35-$BB35)/15+BB35</f>
        <v>35.326738550364603</v>
      </c>
      <c r="BD35" s="880">
        <f t="shared" si="128"/>
        <v>35.347308764735899</v>
      </c>
      <c r="BE35" s="880">
        <f t="shared" si="128"/>
        <v>35.367878979107196</v>
      </c>
      <c r="BF35" s="880">
        <f t="shared" si="128"/>
        <v>35.388449193478493</v>
      </c>
      <c r="BG35" s="880">
        <f t="shared" si="128"/>
        <v>35.40901940784979</v>
      </c>
      <c r="BH35" s="880">
        <f t="shared" si="128"/>
        <v>35.429589622221087</v>
      </c>
      <c r="BI35" s="880">
        <f t="shared" si="128"/>
        <v>35.450159836592384</v>
      </c>
      <c r="BJ35" s="880">
        <f t="shared" si="128"/>
        <v>35.470730050963681</v>
      </c>
      <c r="BK35" s="880">
        <f t="shared" si="128"/>
        <v>35.491300265334978</v>
      </c>
      <c r="BL35" s="880">
        <f t="shared" si="128"/>
        <v>35.511870479706275</v>
      </c>
      <c r="BM35" s="880">
        <f t="shared" si="128"/>
        <v>35.532440694077572</v>
      </c>
      <c r="BN35" s="880">
        <f t="shared" si="128"/>
        <v>35.553010908448869</v>
      </c>
      <c r="BO35" s="880">
        <f t="shared" si="128"/>
        <v>35.573581122820165</v>
      </c>
      <c r="BP35" s="880">
        <f t="shared" si="128"/>
        <v>35.594151337191462</v>
      </c>
      <c r="BQ35" s="968">
        <f>'AEO Data'!$C$33*BB35</f>
        <v>35.614721551562717</v>
      </c>
      <c r="BR35" s="880">
        <f t="shared" si="120"/>
        <v>35.590740371018178</v>
      </c>
      <c r="BS35" s="880">
        <f t="shared" si="120"/>
        <v>35.56675919047364</v>
      </c>
      <c r="BT35" s="880">
        <f t="shared" si="120"/>
        <v>35.542778009929101</v>
      </c>
      <c r="BU35" s="880">
        <f t="shared" si="120"/>
        <v>35.518796829384563</v>
      </c>
      <c r="BV35" s="969">
        <f>'AEO Data'!$D$33*BQ35</f>
        <v>35.494815648840024</v>
      </c>
      <c r="BW35" s="1398">
        <f>+BV35*BW$141/BV$141</f>
        <v>35.479187147674004</v>
      </c>
      <c r="BX35" s="1398">
        <f t="shared" ref="BX35:CZ35" si="129">+BW35*BX$141/BW$141</f>
        <v>35.463565527795978</v>
      </c>
      <c r="BY35" s="1398">
        <f t="shared" si="129"/>
        <v>35.447950786176087</v>
      </c>
      <c r="BZ35" s="1398">
        <f t="shared" si="129"/>
        <v>35.432342919785803</v>
      </c>
      <c r="CA35" s="1398">
        <f t="shared" si="129"/>
        <v>35.41674192559794</v>
      </c>
      <c r="CB35" s="1398">
        <f t="shared" si="129"/>
        <v>35.388373668404036</v>
      </c>
      <c r="CC35" s="1398">
        <f t="shared" si="129"/>
        <v>35.360028133741132</v>
      </c>
      <c r="CD35" s="1398">
        <f t="shared" si="129"/>
        <v>35.331705303408839</v>
      </c>
      <c r="CE35" s="1398">
        <f t="shared" si="129"/>
        <v>35.303405159221327</v>
      </c>
      <c r="CF35" s="1398">
        <f t="shared" si="129"/>
        <v>35.275127683007355</v>
      </c>
      <c r="CG35" s="1398">
        <f t="shared" si="129"/>
        <v>35.236173874838393</v>
      </c>
      <c r="CH35" s="1398">
        <f t="shared" si="129"/>
        <v>35.197263082790727</v>
      </c>
      <c r="CI35" s="1398">
        <f t="shared" si="129"/>
        <v>35.158395259362273</v>
      </c>
      <c r="CJ35" s="1398">
        <f t="shared" si="129"/>
        <v>35.119570357103413</v>
      </c>
      <c r="CK35" s="1398">
        <f t="shared" si="129"/>
        <v>35.080788328616926</v>
      </c>
      <c r="CL35" s="1398">
        <f t="shared" si="129"/>
        <v>35.03850643960029</v>
      </c>
      <c r="CM35" s="1398">
        <f t="shared" si="129"/>
        <v>34.996275511757105</v>
      </c>
      <c r="CN35" s="1398">
        <f t="shared" si="129"/>
        <v>34.954095483665299</v>
      </c>
      <c r="CO35" s="1398">
        <f t="shared" si="129"/>
        <v>34.911966293976825</v>
      </c>
      <c r="CP35" s="1398">
        <f t="shared" si="129"/>
        <v>34.869887881417597</v>
      </c>
      <c r="CQ35" s="1398">
        <f t="shared" si="129"/>
        <v>34.82115009201096</v>
      </c>
      <c r="CR35" s="1398">
        <f t="shared" si="129"/>
        <v>34.772480423618198</v>
      </c>
      <c r="CS35" s="1398">
        <f t="shared" si="129"/>
        <v>34.723878781026279</v>
      </c>
      <c r="CT35" s="1398">
        <f t="shared" si="129"/>
        <v>34.675345069155263</v>
      </c>
      <c r="CU35" s="1398">
        <f t="shared" si="129"/>
        <v>34.626879193058095</v>
      </c>
      <c r="CV35" s="1398">
        <f t="shared" si="129"/>
        <v>34.579567869537456</v>
      </c>
      <c r="CW35" s="1398">
        <f t="shared" si="129"/>
        <v>34.532321188323188</v>
      </c>
      <c r="CX35" s="1398">
        <f t="shared" si="129"/>
        <v>34.485139061093349</v>
      </c>
      <c r="CY35" s="1398">
        <f t="shared" si="129"/>
        <v>34.438021399646672</v>
      </c>
      <c r="CZ35" s="1398">
        <f t="shared" si="129"/>
        <v>34.39096811590241</v>
      </c>
    </row>
    <row r="36" spans="1:106" ht="13" thickTop="1" x14ac:dyDescent="0.25">
      <c r="A36" s="877"/>
      <c r="B36" s="260"/>
      <c r="C36" s="874"/>
      <c r="D36" s="1250"/>
      <c r="E36" s="874"/>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5">
      <c r="A37" s="877"/>
      <c r="B37" s="260"/>
      <c r="C37" s="874"/>
      <c r="D37" s="1251"/>
      <c r="E37" s="874"/>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 thickBot="1" x14ac:dyDescent="0.3">
      <c r="A38" s="977"/>
      <c r="B38" s="260"/>
      <c r="C38" s="874"/>
      <c r="D38" s="1251"/>
      <c r="E38" s="874"/>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53" customFormat="1" ht="13" x14ac:dyDescent="0.3">
      <c r="A39" s="1049" t="s">
        <v>1108</v>
      </c>
      <c r="B39" s="1050"/>
      <c r="C39" s="1051"/>
      <c r="D39" s="1252"/>
      <c r="E39" s="1051"/>
      <c r="F39" s="1050"/>
      <c r="G39" s="1050"/>
      <c r="H39" s="1050"/>
      <c r="I39" s="1050"/>
      <c r="J39" s="1050"/>
      <c r="K39" s="1050"/>
      <c r="L39" s="1050"/>
      <c r="M39" s="1050"/>
      <c r="N39" s="1050"/>
      <c r="O39" s="1050"/>
      <c r="P39" s="1050"/>
      <c r="Q39" s="1050"/>
      <c r="R39" s="1050"/>
      <c r="S39" s="1050"/>
      <c r="T39" s="1050"/>
      <c r="U39" s="1050"/>
      <c r="V39" s="1050"/>
      <c r="W39" s="1050"/>
      <c r="X39" s="1050"/>
      <c r="Y39" s="1050"/>
      <c r="Z39" s="1050"/>
      <c r="AA39" s="1050"/>
      <c r="AB39" s="1050"/>
      <c r="AC39" s="1050"/>
      <c r="AD39" s="1050"/>
      <c r="AE39" s="1050"/>
      <c r="AF39" s="1050"/>
      <c r="AG39" s="1050"/>
      <c r="AH39" s="1050"/>
      <c r="AI39" s="1050"/>
      <c r="AJ39" s="1050"/>
      <c r="AK39" s="1050"/>
      <c r="AL39" s="1050"/>
      <c r="AM39" s="1050"/>
      <c r="AN39" s="1050"/>
      <c r="AO39" s="1050"/>
      <c r="AP39" s="1050"/>
      <c r="AQ39" s="1050"/>
      <c r="AR39" s="1050"/>
      <c r="AS39" s="1050"/>
      <c r="AT39" s="1050"/>
      <c r="AU39" s="1050"/>
      <c r="AV39" s="1050"/>
      <c r="AW39" s="1050"/>
      <c r="AX39" s="1050"/>
      <c r="AY39" s="1050"/>
      <c r="AZ39" s="1050"/>
      <c r="BA39" s="1050"/>
      <c r="BB39" s="1050"/>
      <c r="BC39" s="1050"/>
      <c r="BD39" s="1050"/>
      <c r="BE39" s="1050"/>
      <c r="BF39" s="1050"/>
      <c r="BG39" s="1050"/>
      <c r="BH39" s="1050"/>
      <c r="BI39" s="1050"/>
      <c r="BJ39" s="1050"/>
      <c r="BK39" s="1050"/>
      <c r="BL39" s="1050"/>
      <c r="BM39" s="1050"/>
      <c r="BN39" s="1050"/>
      <c r="BO39" s="1050"/>
      <c r="BP39" s="1050"/>
      <c r="BQ39" s="1050"/>
      <c r="BR39" s="1050"/>
      <c r="BS39" s="1050"/>
      <c r="BT39" s="1050"/>
      <c r="BU39" s="1050"/>
      <c r="BV39" s="1052"/>
    </row>
    <row r="40" spans="1:106" s="1053" customFormat="1" ht="13" x14ac:dyDescent="0.3">
      <c r="A40" s="1054" t="s">
        <v>1109</v>
      </c>
      <c r="B40" s="1055"/>
      <c r="C40" s="1056"/>
      <c r="D40" s="1253"/>
      <c r="E40" s="1056"/>
      <c r="F40" s="1055"/>
      <c r="G40" s="1055"/>
      <c r="H40" s="1055"/>
      <c r="I40" s="1055"/>
      <c r="J40" s="1055"/>
      <c r="K40" s="1055"/>
      <c r="L40" s="1055"/>
      <c r="M40" s="1055"/>
      <c r="N40" s="1055"/>
      <c r="O40" s="1055"/>
      <c r="P40" s="1055"/>
      <c r="Q40" s="1055"/>
      <c r="R40" s="1055"/>
      <c r="S40" s="1055"/>
      <c r="T40" s="1055"/>
      <c r="U40" s="1055"/>
      <c r="V40" s="1055"/>
      <c r="W40" s="1055"/>
      <c r="X40" s="1055"/>
      <c r="Y40" s="1055"/>
      <c r="Z40" s="1055"/>
      <c r="AA40" s="1055"/>
      <c r="AB40" s="1055"/>
      <c r="AC40" s="1055"/>
      <c r="AD40" s="1055"/>
      <c r="AE40" s="1055"/>
      <c r="AF40" s="1055"/>
      <c r="AG40" s="1055"/>
      <c r="AH40" s="1055"/>
      <c r="AI40" s="1055"/>
      <c r="AJ40" s="1055"/>
      <c r="AK40" s="1055"/>
      <c r="AL40" s="1055"/>
      <c r="AM40" s="1055"/>
      <c r="AN40" s="1055"/>
      <c r="AO40" s="1055"/>
      <c r="AP40" s="1055"/>
      <c r="AQ40" s="1055"/>
      <c r="AR40" s="1055"/>
      <c r="AS40" s="1055"/>
      <c r="AT40" s="1055"/>
      <c r="AU40" s="1055"/>
      <c r="AV40" s="1055"/>
      <c r="AW40" s="1055"/>
      <c r="AX40" s="1055"/>
      <c r="AY40" s="1055"/>
      <c r="AZ40" s="1055"/>
      <c r="BA40" s="1055"/>
      <c r="BB40" s="1055"/>
      <c r="BC40" s="1055"/>
      <c r="BD40" s="1055"/>
      <c r="BE40" s="1055"/>
      <c r="BF40" s="1055"/>
      <c r="BG40" s="1055"/>
      <c r="BH40" s="1055"/>
      <c r="BI40" s="1055"/>
      <c r="BJ40" s="1055"/>
      <c r="BK40" s="1055"/>
      <c r="BL40" s="1055"/>
      <c r="BM40" s="1055"/>
      <c r="BN40" s="1055"/>
      <c r="BO40" s="1055"/>
      <c r="BP40" s="1055"/>
      <c r="BQ40" s="1055"/>
      <c r="BR40" s="1055"/>
      <c r="BS40" s="1055"/>
      <c r="BT40" s="1055"/>
      <c r="BU40" s="1055"/>
      <c r="BV40" s="1057"/>
    </row>
    <row r="41" spans="1:106" s="1053" customFormat="1" x14ac:dyDescent="0.25">
      <c r="A41" s="1058"/>
      <c r="B41" s="1055"/>
      <c r="C41" s="1056"/>
      <c r="D41" s="1253"/>
      <c r="E41" s="1056"/>
      <c r="F41" s="1055"/>
      <c r="G41" s="1055"/>
      <c r="H41" s="1055"/>
      <c r="I41" s="1055"/>
      <c r="J41" s="1055"/>
      <c r="K41" s="1055"/>
      <c r="L41" s="1055"/>
      <c r="M41" s="1055"/>
      <c r="N41" s="1055"/>
      <c r="O41" s="1055"/>
      <c r="P41" s="1055"/>
      <c r="Q41" s="1055"/>
      <c r="R41" s="1055"/>
      <c r="S41" s="1055"/>
      <c r="T41" s="1055"/>
      <c r="U41" s="1055"/>
      <c r="V41" s="1055"/>
      <c r="W41" s="1055"/>
      <c r="X41" s="1055"/>
      <c r="Y41" s="1055"/>
      <c r="Z41" s="1055"/>
      <c r="AA41" s="1055"/>
      <c r="AB41" s="1055"/>
      <c r="AC41" s="1055"/>
      <c r="AD41" s="1055"/>
      <c r="AE41" s="1055"/>
      <c r="AF41" s="1055"/>
      <c r="AG41" s="1055"/>
      <c r="AH41" s="1055"/>
      <c r="AI41" s="1055"/>
      <c r="AJ41" s="1055"/>
      <c r="AK41" s="1055"/>
      <c r="AL41" s="1055"/>
      <c r="AM41" s="1055"/>
      <c r="AN41" s="1055"/>
      <c r="AO41" s="1055"/>
      <c r="AP41" s="1055"/>
      <c r="AQ41" s="1055"/>
      <c r="AR41" s="1055"/>
      <c r="AS41" s="1055"/>
      <c r="AT41" s="1055"/>
      <c r="AU41" s="1055"/>
      <c r="AV41" s="1055"/>
      <c r="AW41" s="1055"/>
      <c r="AX41" s="1055"/>
      <c r="AY41" s="1055"/>
      <c r="AZ41" s="1055"/>
      <c r="BA41" s="1055"/>
      <c r="BB41" s="1055"/>
      <c r="BC41" s="1055"/>
      <c r="BD41" s="1055"/>
      <c r="BE41" s="1055"/>
      <c r="BF41" s="1055"/>
      <c r="BG41" s="1055"/>
      <c r="BH41" s="1055"/>
      <c r="BI41" s="1055"/>
      <c r="BJ41" s="1055"/>
      <c r="BK41" s="1055"/>
      <c r="BL41" s="1055"/>
      <c r="BM41" s="1055"/>
      <c r="BN41" s="1055"/>
      <c r="BO41" s="1055"/>
      <c r="BP41" s="1055"/>
      <c r="BQ41" s="1055"/>
      <c r="BR41" s="1055"/>
      <c r="BS41" s="1055"/>
      <c r="BT41" s="1055"/>
      <c r="BU41" s="1055"/>
      <c r="BV41" s="1057"/>
    </row>
    <row r="42" spans="1:106" s="1053" customFormat="1" x14ac:dyDescent="0.25">
      <c r="A42" s="1058" t="s">
        <v>681</v>
      </c>
      <c r="B42" s="1055"/>
      <c r="C42" s="1056"/>
      <c r="D42" s="1253"/>
      <c r="E42" s="1056"/>
      <c r="F42" s="1055"/>
      <c r="G42" s="1055"/>
      <c r="H42" s="1055"/>
      <c r="I42" s="1055"/>
      <c r="J42" s="1055"/>
      <c r="K42" s="1055"/>
      <c r="L42" s="1055"/>
      <c r="M42" s="1055"/>
      <c r="N42" s="1059">
        <v>11.359373</v>
      </c>
      <c r="O42" s="1059">
        <v>10.802343</v>
      </c>
      <c r="P42" s="1059">
        <v>10.464380999999999</v>
      </c>
      <c r="Q42" s="1059">
        <v>10.477905</v>
      </c>
      <c r="R42" s="1059">
        <v>10.253485</v>
      </c>
      <c r="S42" s="1059">
        <v>10.156079999999999</v>
      </c>
      <c r="T42" s="1059">
        <v>10.662777999999999</v>
      </c>
      <c r="U42" s="1059">
        <v>10.990506</v>
      </c>
      <c r="V42" s="1059">
        <v>11.397518</v>
      </c>
      <c r="W42" s="1059">
        <v>11.624905</v>
      </c>
      <c r="X42" s="1059">
        <v>11.776242999999999</v>
      </c>
      <c r="Y42" s="1059">
        <v>11.960003</v>
      </c>
      <c r="Z42" s="1059">
        <v>12.203179</v>
      </c>
      <c r="AA42" s="1059">
        <v>12.432268000000001</v>
      </c>
      <c r="AB42" s="1059">
        <v>12.584531</v>
      </c>
      <c r="AC42" s="1059">
        <v>12.674325</v>
      </c>
      <c r="AD42" s="1059">
        <v>12.841908</v>
      </c>
      <c r="AE42" s="1059">
        <v>12.933384999999999</v>
      </c>
      <c r="AF42" s="1059">
        <v>13.085578999999999</v>
      </c>
      <c r="AG42" s="1059">
        <v>13.234385</v>
      </c>
      <c r="AH42" s="1059">
        <v>13.368997999999999</v>
      </c>
      <c r="AI42" s="1059">
        <v>13.547089</v>
      </c>
      <c r="AJ42" s="1059">
        <v>13.721807</v>
      </c>
      <c r="AK42" s="1059">
        <v>13.935895</v>
      </c>
      <c r="AL42" s="1059">
        <v>14.248931000000001</v>
      </c>
      <c r="AM42" s="1059">
        <v>14.598827</v>
      </c>
      <c r="AN42" s="1059">
        <v>15.023702999999999</v>
      </c>
      <c r="AO42" s="1059">
        <v>15.415895000000001</v>
      </c>
      <c r="AP42" s="1059">
        <v>15.842275000000001</v>
      </c>
      <c r="AQ42" s="1059">
        <v>16.055761</v>
      </c>
      <c r="AR42" s="1059">
        <v>16.363073</v>
      </c>
      <c r="AS42" s="1055"/>
      <c r="AT42" s="1055"/>
      <c r="AU42" s="1055"/>
      <c r="AV42" s="1055"/>
      <c r="AW42" s="1055"/>
      <c r="AX42" s="1055"/>
      <c r="AY42" s="1055"/>
      <c r="AZ42" s="1055"/>
      <c r="BA42" s="1055"/>
      <c r="BB42" s="1055"/>
      <c r="BC42" s="1055"/>
      <c r="BD42" s="1055"/>
      <c r="BE42" s="1055"/>
      <c r="BF42" s="1055"/>
      <c r="BG42" s="1055"/>
      <c r="BH42" s="1055"/>
      <c r="BI42" s="1055"/>
      <c r="BJ42" s="1055"/>
      <c r="BK42" s="1055"/>
      <c r="BL42" s="1055"/>
      <c r="BM42" s="1055"/>
      <c r="BN42" s="1055"/>
      <c r="BO42" s="1055"/>
      <c r="BP42" s="1055"/>
      <c r="BQ42" s="1055"/>
      <c r="BR42" s="1055"/>
      <c r="BS42" s="1055"/>
      <c r="BT42" s="1055"/>
      <c r="BU42" s="1055"/>
      <c r="BV42" s="1057"/>
    </row>
    <row r="43" spans="1:106" s="1053" customFormat="1" x14ac:dyDescent="0.25">
      <c r="A43" s="1058" t="s">
        <v>1085</v>
      </c>
      <c r="B43" s="1055"/>
      <c r="C43" s="1056"/>
      <c r="D43" s="1253"/>
      <c r="E43" s="1056"/>
      <c r="F43" s="1055"/>
      <c r="G43" s="1055"/>
      <c r="H43" s="1055"/>
      <c r="I43" s="1055"/>
      <c r="J43" s="1055"/>
      <c r="K43" s="1055"/>
      <c r="L43" s="1055"/>
      <c r="M43" s="1055"/>
      <c r="N43" s="1059">
        <v>9.3969749999999994</v>
      </c>
      <c r="O43" s="1059">
        <v>8.8368610000000007</v>
      </c>
      <c r="P43" s="1059">
        <v>8.0727960000000003</v>
      </c>
      <c r="Q43" s="1059">
        <v>8.4627339999999993</v>
      </c>
      <c r="R43" s="1059">
        <v>8.2352620000000005</v>
      </c>
      <c r="S43" s="1059">
        <v>8.1043620000000001</v>
      </c>
      <c r="T43" s="1059">
        <v>8.5610389999999992</v>
      </c>
      <c r="U43" s="1059">
        <v>8.8247909999999994</v>
      </c>
      <c r="V43" s="1059">
        <v>9.1722800000000007</v>
      </c>
      <c r="W43" s="1059">
        <v>9.3508150000000008</v>
      </c>
      <c r="X43" s="1059">
        <v>9.4680210000000002</v>
      </c>
      <c r="Y43" s="1059">
        <v>9.6109419999999997</v>
      </c>
      <c r="Z43" s="1059">
        <v>9.8191819999999996</v>
      </c>
      <c r="AA43" s="1059">
        <v>10.011597999999999</v>
      </c>
      <c r="AB43" s="1059">
        <v>10.133018</v>
      </c>
      <c r="AC43" s="1059">
        <v>10.193654</v>
      </c>
      <c r="AD43" s="1059">
        <v>10.33554</v>
      </c>
      <c r="AE43" s="1059">
        <v>10.388019</v>
      </c>
      <c r="AF43" s="1059">
        <v>10.500005</v>
      </c>
      <c r="AG43" s="1059">
        <v>10.605323</v>
      </c>
      <c r="AH43" s="1059">
        <v>10.697221000000001</v>
      </c>
      <c r="AI43" s="1059">
        <v>10.832411</v>
      </c>
      <c r="AJ43" s="1059">
        <v>10.954602</v>
      </c>
      <c r="AK43" s="1059">
        <v>11.11848</v>
      </c>
      <c r="AL43" s="1059">
        <v>11.383407</v>
      </c>
      <c r="AM43" s="1059">
        <v>11.681657</v>
      </c>
      <c r="AN43" s="1059">
        <v>12.061093</v>
      </c>
      <c r="AO43" s="1059">
        <v>12.401303</v>
      </c>
      <c r="AP43" s="1059">
        <v>12.781521</v>
      </c>
      <c r="AQ43" s="1059">
        <v>12.948893999999999</v>
      </c>
      <c r="AR43" s="1059">
        <v>13.212922000000001</v>
      </c>
      <c r="AS43" s="1055"/>
      <c r="AT43" s="1055"/>
      <c r="AU43" s="1055"/>
      <c r="AV43" s="1055"/>
      <c r="AW43" s="1055"/>
      <c r="AX43" s="1055"/>
      <c r="AY43" s="1055"/>
      <c r="AZ43" s="1055"/>
      <c r="BA43" s="1055"/>
      <c r="BB43" s="1055"/>
      <c r="BC43" s="1055"/>
      <c r="BD43" s="1055"/>
      <c r="BE43" s="1055"/>
      <c r="BF43" s="1055"/>
      <c r="BG43" s="1055"/>
      <c r="BH43" s="1055"/>
      <c r="BI43" s="1055"/>
      <c r="BJ43" s="1055"/>
      <c r="BK43" s="1055"/>
      <c r="BL43" s="1055"/>
      <c r="BM43" s="1055"/>
      <c r="BN43" s="1055"/>
      <c r="BO43" s="1055"/>
      <c r="BP43" s="1055"/>
      <c r="BQ43" s="1055"/>
      <c r="BR43" s="1055"/>
      <c r="BS43" s="1055"/>
      <c r="BT43" s="1055"/>
      <c r="BU43" s="1055"/>
      <c r="BV43" s="1057"/>
    </row>
    <row r="44" spans="1:106" s="1053" customFormat="1" x14ac:dyDescent="0.25">
      <c r="A44" s="1058" t="s">
        <v>283</v>
      </c>
      <c r="B44" s="1055"/>
      <c r="C44" s="1056"/>
      <c r="D44" s="1253"/>
      <c r="E44" s="1056"/>
      <c r="F44" s="1055"/>
      <c r="G44" s="1055"/>
      <c r="H44" s="1055"/>
      <c r="I44" s="1055"/>
      <c r="J44" s="1055"/>
      <c r="K44" s="1055"/>
      <c r="L44" s="1055"/>
      <c r="M44" s="1055"/>
      <c r="N44" s="1059">
        <v>5.4839599999999997</v>
      </c>
      <c r="O44" s="1059">
        <v>4.8898130000000002</v>
      </c>
      <c r="P44" s="1059">
        <v>3.7596859999999999</v>
      </c>
      <c r="Q44" s="1059">
        <v>4.3339879999999997</v>
      </c>
      <c r="R44" s="1059">
        <v>4.3750520000000002</v>
      </c>
      <c r="S44" s="1059">
        <v>4.4225349999999999</v>
      </c>
      <c r="T44" s="1059">
        <v>4.8660360000000003</v>
      </c>
      <c r="U44" s="1059">
        <v>5.0679410000000003</v>
      </c>
      <c r="V44" s="1059">
        <v>5.3212570000000001</v>
      </c>
      <c r="W44" s="1059">
        <v>5.4497980000000004</v>
      </c>
      <c r="X44" s="1059">
        <v>5.5294119999999998</v>
      </c>
      <c r="Y44" s="1059">
        <v>5.6406840000000003</v>
      </c>
      <c r="Z44" s="1059">
        <v>5.8277749999999999</v>
      </c>
      <c r="AA44" s="1059">
        <v>6.0107049999999997</v>
      </c>
      <c r="AB44" s="1059">
        <v>6.1100089999999998</v>
      </c>
      <c r="AC44" s="1059">
        <v>6.1511990000000001</v>
      </c>
      <c r="AD44" s="1059">
        <v>6.2557600000000004</v>
      </c>
      <c r="AE44" s="1059">
        <v>6.2949159999999997</v>
      </c>
      <c r="AF44" s="1059">
        <v>6.396782</v>
      </c>
      <c r="AG44" s="1059">
        <v>6.4862520000000004</v>
      </c>
      <c r="AH44" s="1059">
        <v>6.561483</v>
      </c>
      <c r="AI44" s="1059">
        <v>6.6766310000000004</v>
      </c>
      <c r="AJ44" s="1059">
        <v>6.771134</v>
      </c>
      <c r="AK44" s="1059">
        <v>6.9159920000000001</v>
      </c>
      <c r="AL44" s="1059">
        <v>7.1687539999999998</v>
      </c>
      <c r="AM44" s="1059">
        <v>7.4454149999999997</v>
      </c>
      <c r="AN44" s="1059">
        <v>7.813205</v>
      </c>
      <c r="AO44" s="1059">
        <v>8.1536600000000004</v>
      </c>
      <c r="AP44" s="1059">
        <v>8.4989190000000008</v>
      </c>
      <c r="AQ44" s="1059">
        <v>8.6393810000000002</v>
      </c>
      <c r="AR44" s="1059">
        <v>8.8810929999999999</v>
      </c>
      <c r="AS44" s="1055"/>
      <c r="AT44" s="1055"/>
      <c r="AU44" s="1055"/>
      <c r="AV44" s="1055"/>
      <c r="AW44" s="1055"/>
      <c r="AX44" s="1055"/>
      <c r="AY44" s="1055"/>
      <c r="AZ44" s="1055"/>
      <c r="BA44" s="1055"/>
      <c r="BB44" s="1055"/>
      <c r="BC44" s="1055"/>
      <c r="BD44" s="1055"/>
      <c r="BE44" s="1055"/>
      <c r="BF44" s="1055"/>
      <c r="BG44" s="1055"/>
      <c r="BH44" s="1055"/>
      <c r="BI44" s="1055"/>
      <c r="BJ44" s="1055"/>
      <c r="BK44" s="1055"/>
      <c r="BL44" s="1055"/>
      <c r="BM44" s="1055"/>
      <c r="BN44" s="1055"/>
      <c r="BO44" s="1055"/>
      <c r="BP44" s="1055"/>
      <c r="BQ44" s="1055"/>
      <c r="BR44" s="1055"/>
      <c r="BS44" s="1055"/>
      <c r="BT44" s="1055"/>
      <c r="BU44" s="1055"/>
      <c r="BV44" s="1057"/>
    </row>
    <row r="45" spans="1:106" s="1053" customFormat="1" x14ac:dyDescent="0.25">
      <c r="A45" s="1060" t="str">
        <f>'HyARC Physical Property Data'!$A$74</f>
        <v>Electric Utility Natural Gas</v>
      </c>
      <c r="B45" s="1055"/>
      <c r="C45" s="1056"/>
      <c r="D45" s="1253"/>
      <c r="E45" s="1056"/>
      <c r="F45" s="1055"/>
      <c r="G45" s="1055"/>
      <c r="H45" s="1055"/>
      <c r="I45" s="1055"/>
      <c r="J45" s="1055"/>
      <c r="K45" s="1055"/>
      <c r="L45" s="1055"/>
      <c r="M45" s="1055"/>
      <c r="N45" s="1059">
        <v>5.258165</v>
      </c>
      <c r="O45" s="1059">
        <v>4.7747140000000003</v>
      </c>
      <c r="P45" s="1059">
        <v>3.3217560000000002</v>
      </c>
      <c r="Q45" s="1059">
        <v>3.7155300000000002</v>
      </c>
      <c r="R45" s="1059">
        <v>3.758219</v>
      </c>
      <c r="S45" s="1059">
        <v>3.8420709999999998</v>
      </c>
      <c r="T45" s="1059">
        <v>4.2826180000000003</v>
      </c>
      <c r="U45" s="1059">
        <v>4.4486730000000003</v>
      </c>
      <c r="V45" s="1059">
        <v>4.7026110000000001</v>
      </c>
      <c r="W45" s="1059">
        <v>4.8222319999999996</v>
      </c>
      <c r="X45" s="1059">
        <v>4.8967590000000003</v>
      </c>
      <c r="Y45" s="1059">
        <v>5.0074189999999996</v>
      </c>
      <c r="Z45" s="1059">
        <v>5.20235</v>
      </c>
      <c r="AA45" s="1059">
        <v>5.388776</v>
      </c>
      <c r="AB45" s="1059">
        <v>5.5179349999999996</v>
      </c>
      <c r="AC45" s="1059">
        <v>5.5779610000000002</v>
      </c>
      <c r="AD45" s="1059">
        <v>5.7088080000000003</v>
      </c>
      <c r="AE45" s="1059">
        <v>5.7607720000000002</v>
      </c>
      <c r="AF45" s="1059">
        <v>5.8668440000000004</v>
      </c>
      <c r="AG45" s="1059">
        <v>5.9650189999999998</v>
      </c>
      <c r="AH45" s="1059">
        <v>6.0528500000000003</v>
      </c>
      <c r="AI45" s="1059">
        <v>6.1836820000000001</v>
      </c>
      <c r="AJ45" s="1059">
        <v>6.2931780000000002</v>
      </c>
      <c r="AK45" s="1059">
        <v>6.4458729999999997</v>
      </c>
      <c r="AL45" s="1059">
        <v>6.6983480000000002</v>
      </c>
      <c r="AM45" s="1059">
        <v>6.9804459999999997</v>
      </c>
      <c r="AN45" s="1059">
        <v>7.345173</v>
      </c>
      <c r="AO45" s="1059">
        <v>7.6749489999999998</v>
      </c>
      <c r="AP45" s="1059">
        <v>8.0219799999999992</v>
      </c>
      <c r="AQ45" s="1059">
        <v>8.1549879999999995</v>
      </c>
      <c r="AR45" s="1059">
        <v>8.3777830000000009</v>
      </c>
      <c r="AS45" s="1055"/>
      <c r="AT45" s="1055"/>
      <c r="AU45" s="1055"/>
      <c r="AV45" s="1055"/>
      <c r="AW45" s="1055"/>
      <c r="AX45" s="1055"/>
      <c r="AY45" s="1055"/>
      <c r="AZ45" s="1055"/>
      <c r="BA45" s="1055"/>
      <c r="BB45" s="1055"/>
      <c r="BC45" s="1055"/>
      <c r="BD45" s="1055"/>
      <c r="BE45" s="1055"/>
      <c r="BF45" s="1055"/>
      <c r="BG45" s="1055"/>
      <c r="BH45" s="1055"/>
      <c r="BI45" s="1055"/>
      <c r="BJ45" s="1055"/>
      <c r="BK45" s="1055"/>
      <c r="BL45" s="1055"/>
      <c r="BM45" s="1055"/>
      <c r="BN45" s="1055"/>
      <c r="BO45" s="1055"/>
      <c r="BP45" s="1055"/>
      <c r="BQ45" s="1055"/>
      <c r="BR45" s="1055"/>
      <c r="BS45" s="1055"/>
      <c r="BT45" s="1055"/>
      <c r="BU45" s="1055"/>
      <c r="BV45" s="1057"/>
    </row>
    <row r="46" spans="1:106" s="1053" customFormat="1" x14ac:dyDescent="0.25">
      <c r="A46" s="1058" t="str">
        <f>'HyARC Physical Property Data'!$A$85</f>
        <v>Woody Biomass</v>
      </c>
      <c r="B46" s="1055"/>
      <c r="C46" s="1056"/>
      <c r="D46" s="1253"/>
      <c r="E46" s="1056"/>
      <c r="F46" s="1055"/>
      <c r="G46" s="1055"/>
      <c r="H46" s="1055"/>
      <c r="I46" s="1055"/>
      <c r="J46" s="1055"/>
      <c r="K46" s="1055"/>
      <c r="L46" s="1055"/>
      <c r="M46" s="1055"/>
      <c r="N46" s="1059"/>
      <c r="O46" s="1059"/>
      <c r="P46" s="1059"/>
      <c r="Q46" s="1059"/>
      <c r="R46" s="1059"/>
      <c r="S46" s="1059"/>
      <c r="T46" s="1059"/>
      <c r="U46" s="1059"/>
      <c r="V46" s="1059"/>
      <c r="W46" s="1059"/>
      <c r="X46" s="1059"/>
      <c r="Y46" s="1059"/>
      <c r="Z46" s="1059"/>
      <c r="AA46" s="1059"/>
      <c r="AB46" s="1059"/>
      <c r="AC46" s="1059"/>
      <c r="AD46" s="1059"/>
      <c r="AE46" s="1059"/>
      <c r="AF46" s="1059"/>
      <c r="AG46" s="1059"/>
      <c r="AH46" s="1059"/>
      <c r="AI46" s="1059"/>
      <c r="AJ46" s="1059"/>
      <c r="AK46" s="1059"/>
      <c r="AL46" s="1059"/>
      <c r="AM46" s="1059"/>
      <c r="AN46" s="1059"/>
      <c r="AO46" s="1059"/>
      <c r="AP46" s="1059"/>
      <c r="AQ46" s="1059"/>
      <c r="AR46" s="1059"/>
      <c r="AS46" s="1055"/>
      <c r="AT46" s="1055"/>
      <c r="AU46" s="1055"/>
      <c r="AV46" s="1055"/>
      <c r="AW46" s="1055"/>
      <c r="AX46" s="1055"/>
      <c r="AY46" s="1055"/>
      <c r="AZ46" s="1055"/>
      <c r="BA46" s="1055"/>
      <c r="BB46" s="1055"/>
      <c r="BC46" s="1055"/>
      <c r="BD46" s="1055"/>
      <c r="BE46" s="1055"/>
      <c r="BF46" s="1055"/>
      <c r="BG46" s="1055"/>
      <c r="BH46" s="1055"/>
      <c r="BI46" s="1055"/>
      <c r="BJ46" s="1055"/>
      <c r="BK46" s="1055"/>
      <c r="BL46" s="1055"/>
      <c r="BM46" s="1055"/>
      <c r="BN46" s="1055"/>
      <c r="BO46" s="1055"/>
      <c r="BP46" s="1055"/>
      <c r="BQ46" s="1055"/>
      <c r="BR46" s="1055"/>
      <c r="BS46" s="1055"/>
      <c r="BT46" s="1055"/>
      <c r="BU46" s="1055"/>
      <c r="BV46" s="1057"/>
    </row>
    <row r="47" spans="1:106" s="1053" customFormat="1" x14ac:dyDescent="0.25">
      <c r="A47" s="1058" t="s">
        <v>1110</v>
      </c>
      <c r="B47" s="1055"/>
      <c r="C47" s="1056"/>
      <c r="D47" s="1253"/>
      <c r="E47" s="1056"/>
      <c r="F47" s="1055"/>
      <c r="G47" s="1055"/>
      <c r="H47" s="1055"/>
      <c r="I47" s="1055"/>
      <c r="J47" s="1055"/>
      <c r="K47" s="1055"/>
      <c r="L47" s="1055"/>
      <c r="M47" s="1055"/>
      <c r="N47" s="1059">
        <v>13.6</v>
      </c>
      <c r="O47" s="1059">
        <v>13.6</v>
      </c>
      <c r="P47" s="1059">
        <v>13.6</v>
      </c>
      <c r="Q47" s="1059">
        <v>13.6</v>
      </c>
      <c r="R47" s="1059">
        <v>13.6</v>
      </c>
      <c r="S47" s="1059">
        <v>13.6</v>
      </c>
      <c r="T47" s="1059">
        <v>13.6</v>
      </c>
      <c r="U47" s="1059">
        <v>14.11</v>
      </c>
      <c r="V47" s="1059">
        <v>14.11</v>
      </c>
      <c r="W47" s="1059">
        <v>14.11</v>
      </c>
      <c r="X47" s="1059">
        <v>14.11</v>
      </c>
      <c r="Y47" s="1059">
        <v>14.11</v>
      </c>
      <c r="Z47" s="1059">
        <v>14.11</v>
      </c>
      <c r="AA47" s="1059">
        <v>14.11</v>
      </c>
      <c r="AB47" s="1059">
        <v>14.11</v>
      </c>
      <c r="AC47" s="1059">
        <v>14.11</v>
      </c>
      <c r="AD47" s="1059">
        <v>14.11</v>
      </c>
      <c r="AE47" s="1059">
        <v>14.11</v>
      </c>
      <c r="AF47" s="1059">
        <v>14.11</v>
      </c>
      <c r="AG47" s="1059">
        <v>14.11</v>
      </c>
      <c r="AH47" s="1059">
        <v>14.11</v>
      </c>
      <c r="AI47" s="1059">
        <v>14.11</v>
      </c>
      <c r="AJ47" s="1059">
        <v>14.11</v>
      </c>
      <c r="AK47" s="1059">
        <v>14.11</v>
      </c>
      <c r="AL47" s="1059">
        <v>14.11</v>
      </c>
      <c r="AM47" s="1059">
        <v>14.11</v>
      </c>
      <c r="AN47" s="1059">
        <v>14.11</v>
      </c>
      <c r="AO47" s="1059">
        <v>14.11</v>
      </c>
      <c r="AP47" s="1059">
        <v>14.11</v>
      </c>
      <c r="AQ47" s="1059">
        <v>14.11</v>
      </c>
      <c r="AR47" s="1059">
        <v>14.11</v>
      </c>
      <c r="AS47" s="1059">
        <v>14.11</v>
      </c>
      <c r="AT47" s="1059">
        <v>14.11</v>
      </c>
      <c r="AU47" s="1059">
        <v>14.11</v>
      </c>
      <c r="AV47" s="1059">
        <v>14.11</v>
      </c>
      <c r="AW47" s="1059">
        <v>14.11</v>
      </c>
      <c r="AX47" s="1059">
        <v>14.11</v>
      </c>
      <c r="AY47" s="1059">
        <v>14.11</v>
      </c>
      <c r="AZ47" s="1059">
        <v>14.11</v>
      </c>
      <c r="BA47" s="1059">
        <v>14.11</v>
      </c>
      <c r="BB47" s="1059">
        <v>14.11</v>
      </c>
      <c r="BC47" s="1059">
        <v>14.11</v>
      </c>
      <c r="BD47" s="1059">
        <v>14.11</v>
      </c>
      <c r="BE47" s="1059">
        <v>14.11</v>
      </c>
      <c r="BF47" s="1059">
        <v>14.11</v>
      </c>
      <c r="BG47" s="1059">
        <v>14.11</v>
      </c>
      <c r="BH47" s="1059">
        <v>14.11</v>
      </c>
      <c r="BI47" s="1059">
        <v>14.11</v>
      </c>
      <c r="BJ47" s="1059">
        <v>14.11</v>
      </c>
      <c r="BK47" s="1059">
        <v>14.11</v>
      </c>
      <c r="BL47" s="1059">
        <v>14.11</v>
      </c>
      <c r="BM47" s="1059">
        <v>14.11</v>
      </c>
      <c r="BN47" s="1059">
        <v>14.11</v>
      </c>
      <c r="BO47" s="1059">
        <v>14.11</v>
      </c>
      <c r="BP47" s="1059">
        <v>14.11</v>
      </c>
      <c r="BQ47" s="1059">
        <v>14.11</v>
      </c>
      <c r="BR47" s="1059">
        <v>14.11</v>
      </c>
      <c r="BS47" s="1059">
        <v>14.11</v>
      </c>
      <c r="BT47" s="1059">
        <v>14.11</v>
      </c>
      <c r="BU47" s="1059">
        <v>14.11</v>
      </c>
      <c r="BV47" s="1061">
        <v>14.11</v>
      </c>
    </row>
    <row r="48" spans="1:106" s="1053" customFormat="1" x14ac:dyDescent="0.25">
      <c r="A48" s="1058" t="s">
        <v>311</v>
      </c>
      <c r="B48" s="1055"/>
      <c r="C48" s="1056"/>
      <c r="D48" s="1253"/>
      <c r="E48" s="1056"/>
      <c r="F48" s="1055"/>
      <c r="G48" s="1055"/>
      <c r="H48" s="1055"/>
      <c r="I48" s="1055"/>
      <c r="J48" s="1055"/>
      <c r="K48" s="1055"/>
      <c r="L48" s="1055"/>
      <c r="M48" s="1055"/>
      <c r="N48" s="1059">
        <v>23.6</v>
      </c>
      <c r="O48" s="1059">
        <v>23.6</v>
      </c>
      <c r="P48" s="1059">
        <v>23.6</v>
      </c>
      <c r="Q48" s="1059">
        <v>23.6</v>
      </c>
      <c r="R48" s="1059">
        <v>23.6</v>
      </c>
      <c r="S48" s="1059">
        <v>23.6</v>
      </c>
      <c r="T48" s="1059">
        <v>23.6</v>
      </c>
      <c r="U48" s="1059">
        <v>23.6</v>
      </c>
      <c r="V48" s="1059">
        <v>23.6</v>
      </c>
      <c r="W48" s="1059">
        <v>23.6</v>
      </c>
      <c r="X48" s="1059">
        <v>23.6</v>
      </c>
      <c r="Y48" s="1059">
        <v>23.6</v>
      </c>
      <c r="Z48" s="1059">
        <v>23.6</v>
      </c>
      <c r="AA48" s="1059">
        <v>23.6</v>
      </c>
      <c r="AB48" s="1059">
        <v>23.6</v>
      </c>
      <c r="AC48" s="1059">
        <v>23.6</v>
      </c>
      <c r="AD48" s="1059">
        <v>23.6</v>
      </c>
      <c r="AE48" s="1059">
        <v>23.6</v>
      </c>
      <c r="AF48" s="1059">
        <v>23.6</v>
      </c>
      <c r="AG48" s="1059">
        <v>23.6</v>
      </c>
      <c r="AH48" s="1059">
        <v>23.6</v>
      </c>
      <c r="AI48" s="1059">
        <v>23.6</v>
      </c>
      <c r="AJ48" s="1059">
        <v>23.6</v>
      </c>
      <c r="AK48" s="1059">
        <v>23.6</v>
      </c>
      <c r="AL48" s="1059">
        <v>23.6</v>
      </c>
      <c r="AM48" s="1059">
        <v>23.6</v>
      </c>
      <c r="AN48" s="1059">
        <v>23.6</v>
      </c>
      <c r="AO48" s="1059">
        <v>23.6</v>
      </c>
      <c r="AP48" s="1059">
        <v>23.6</v>
      </c>
      <c r="AQ48" s="1059">
        <v>23.6</v>
      </c>
      <c r="AR48" s="1059">
        <v>23.6</v>
      </c>
      <c r="AS48" s="1059">
        <v>23.6</v>
      </c>
      <c r="AT48" s="1059">
        <v>23.6</v>
      </c>
      <c r="AU48" s="1059">
        <v>23.6</v>
      </c>
      <c r="AV48" s="1059">
        <v>23.6</v>
      </c>
      <c r="AW48" s="1059">
        <v>23.6</v>
      </c>
      <c r="AX48" s="1059">
        <v>23.6</v>
      </c>
      <c r="AY48" s="1059">
        <v>23.6</v>
      </c>
      <c r="AZ48" s="1059">
        <v>23.6</v>
      </c>
      <c r="BA48" s="1059">
        <v>23.6</v>
      </c>
      <c r="BB48" s="1059">
        <v>23.6</v>
      </c>
      <c r="BC48" s="1059">
        <v>23.6</v>
      </c>
      <c r="BD48" s="1059">
        <v>23.6</v>
      </c>
      <c r="BE48" s="1059">
        <v>23.6</v>
      </c>
      <c r="BF48" s="1059">
        <v>23.6</v>
      </c>
      <c r="BG48" s="1059">
        <v>23.6</v>
      </c>
      <c r="BH48" s="1059">
        <v>23.6</v>
      </c>
      <c r="BI48" s="1059">
        <v>23.6</v>
      </c>
      <c r="BJ48" s="1059">
        <v>23.6</v>
      </c>
      <c r="BK48" s="1059">
        <v>23.6</v>
      </c>
      <c r="BL48" s="1059">
        <v>23.6</v>
      </c>
      <c r="BM48" s="1059">
        <v>23.6</v>
      </c>
      <c r="BN48" s="1059">
        <v>23.6</v>
      </c>
      <c r="BO48" s="1059">
        <v>23.6</v>
      </c>
      <c r="BP48" s="1059">
        <v>23.6</v>
      </c>
      <c r="BQ48" s="1059">
        <v>23.6</v>
      </c>
      <c r="BR48" s="1059">
        <v>23.6</v>
      </c>
      <c r="BS48" s="1059">
        <v>23.6</v>
      </c>
      <c r="BT48" s="1059">
        <v>23.6</v>
      </c>
      <c r="BU48" s="1059">
        <v>23.6</v>
      </c>
      <c r="BV48" s="1061">
        <v>23.6</v>
      </c>
    </row>
    <row r="49" spans="1:104" s="1053" customFormat="1" x14ac:dyDescent="0.25">
      <c r="A49" s="1060" t="s">
        <v>1111</v>
      </c>
      <c r="B49" s="1055"/>
      <c r="C49" s="1056"/>
      <c r="D49" s="1253"/>
      <c r="E49" s="1056"/>
      <c r="F49" s="1055"/>
      <c r="G49" s="1055"/>
      <c r="H49" s="1055"/>
      <c r="I49" s="1055"/>
      <c r="J49" s="1055"/>
      <c r="K49" s="1055"/>
      <c r="L49" s="1055"/>
      <c r="M49" s="1055"/>
      <c r="N49" s="1059">
        <v>25.561684</v>
      </c>
      <c r="O49" s="1059">
        <v>25.303816000000001</v>
      </c>
      <c r="P49" s="1059">
        <v>33.642014000000003</v>
      </c>
      <c r="Q49" s="1059">
        <v>31.120284999999999</v>
      </c>
      <c r="R49" s="1059">
        <v>24.805427999999999</v>
      </c>
      <c r="S49" s="1059">
        <v>24.941547</v>
      </c>
      <c r="T49" s="1059">
        <v>24.510408000000002</v>
      </c>
      <c r="U49" s="1059">
        <v>24.773121</v>
      </c>
      <c r="V49" s="1059">
        <v>25.840997999999999</v>
      </c>
      <c r="W49" s="1059">
        <v>26.808551999999999</v>
      </c>
      <c r="X49" s="1059">
        <v>29.644617</v>
      </c>
      <c r="Y49" s="1059">
        <v>29.383793000000001</v>
      </c>
      <c r="Z49" s="1059">
        <v>28.224442</v>
      </c>
      <c r="AA49" s="1059">
        <v>28.253482999999999</v>
      </c>
      <c r="AB49" s="1059">
        <v>27.145426</v>
      </c>
      <c r="AC49" s="1059">
        <v>27.272445999999999</v>
      </c>
      <c r="AD49" s="1059">
        <v>27.519344</v>
      </c>
      <c r="AE49" s="1059">
        <v>26.363682000000001</v>
      </c>
      <c r="AF49" s="1059">
        <v>26.241467</v>
      </c>
      <c r="AG49" s="1059">
        <v>26.599018000000001</v>
      </c>
      <c r="AH49" s="1059">
        <v>26.941008</v>
      </c>
      <c r="AI49" s="1059">
        <v>27.294556</v>
      </c>
      <c r="AJ49" s="1059">
        <v>27.667862</v>
      </c>
      <c r="AK49" s="1059">
        <v>28.194492</v>
      </c>
      <c r="AL49" s="1059">
        <v>28.632065000000001</v>
      </c>
      <c r="AM49" s="1059">
        <v>29.186733</v>
      </c>
      <c r="AN49" s="1059">
        <v>29.790071000000001</v>
      </c>
      <c r="AO49" s="1059">
        <v>30.397635000000001</v>
      </c>
      <c r="AP49" s="1059">
        <v>30.990224999999999</v>
      </c>
      <c r="AQ49" s="1059">
        <v>31.671036000000001</v>
      </c>
      <c r="AR49" s="1059">
        <v>30.576360999999999</v>
      </c>
      <c r="AS49" s="1055"/>
      <c r="AT49" s="1055"/>
      <c r="AU49" s="1055"/>
      <c r="AV49" s="1055"/>
      <c r="AW49" s="1055"/>
      <c r="AX49" s="1055"/>
      <c r="AY49" s="1055"/>
      <c r="AZ49" s="1055"/>
      <c r="BA49" s="1055"/>
      <c r="BB49" s="1055"/>
      <c r="BC49" s="1055"/>
      <c r="BD49" s="1055"/>
      <c r="BE49" s="1055"/>
      <c r="BF49" s="1055"/>
      <c r="BG49" s="1055"/>
      <c r="BH49" s="1055"/>
      <c r="BI49" s="1055"/>
      <c r="BJ49" s="1055"/>
      <c r="BK49" s="1055"/>
      <c r="BL49" s="1055"/>
      <c r="BM49" s="1055"/>
      <c r="BN49" s="1055"/>
      <c r="BO49" s="1055"/>
      <c r="BP49" s="1055"/>
      <c r="BQ49" s="1055"/>
      <c r="BR49" s="1055"/>
      <c r="BS49" s="1055"/>
      <c r="BT49" s="1055"/>
      <c r="BU49" s="1055"/>
      <c r="BV49" s="1057"/>
    </row>
    <row r="50" spans="1:104" s="1053" customFormat="1" x14ac:dyDescent="0.25">
      <c r="A50" s="1058" t="s">
        <v>1087</v>
      </c>
      <c r="B50" s="1055"/>
      <c r="C50" s="1056"/>
      <c r="D50" s="1253"/>
      <c r="E50" s="1056"/>
      <c r="F50" s="1055"/>
      <c r="G50" s="1055"/>
      <c r="H50" s="1055"/>
      <c r="I50" s="1055"/>
      <c r="J50" s="1055"/>
      <c r="K50" s="1055"/>
      <c r="L50" s="1055"/>
      <c r="M50" s="1055"/>
      <c r="N50" s="1059">
        <v>2.2979889999999998</v>
      </c>
      <c r="O50" s="1059">
        <v>2.38</v>
      </c>
      <c r="P50" s="1059">
        <v>2.4052739999999999</v>
      </c>
      <c r="Q50" s="1059">
        <v>2.3369110000000002</v>
      </c>
      <c r="R50" s="1059">
        <v>2.3950149999999999</v>
      </c>
      <c r="S50" s="1059">
        <v>2.3961070000000002</v>
      </c>
      <c r="T50" s="1059">
        <v>2.4583050000000002</v>
      </c>
      <c r="U50" s="1059">
        <v>2.472283</v>
      </c>
      <c r="V50" s="1059">
        <v>2.4802620000000002</v>
      </c>
      <c r="W50" s="1059">
        <v>2.4838239999999998</v>
      </c>
      <c r="X50" s="1059">
        <v>2.516057</v>
      </c>
      <c r="Y50" s="1059">
        <v>2.5464560000000001</v>
      </c>
      <c r="Z50" s="1059">
        <v>2.591459</v>
      </c>
      <c r="AA50" s="1059">
        <v>2.6280779999999999</v>
      </c>
      <c r="AB50" s="1059">
        <v>2.6593969999999998</v>
      </c>
      <c r="AC50" s="1059">
        <v>2.691643</v>
      </c>
      <c r="AD50" s="1059">
        <v>2.7285810000000001</v>
      </c>
      <c r="AE50" s="1059">
        <v>2.7618779999999998</v>
      </c>
      <c r="AF50" s="1059">
        <v>2.7919909999999999</v>
      </c>
      <c r="AG50" s="1059">
        <v>2.8282630000000002</v>
      </c>
      <c r="AH50" s="1059">
        <v>2.8670900000000001</v>
      </c>
      <c r="AI50" s="1059">
        <v>2.8969999999999998</v>
      </c>
      <c r="AJ50" s="1059">
        <v>2.9238430000000002</v>
      </c>
      <c r="AK50" s="1059">
        <v>2.954224</v>
      </c>
      <c r="AL50" s="1059">
        <v>2.98759</v>
      </c>
      <c r="AM50" s="1059">
        <v>3.030205</v>
      </c>
      <c r="AN50" s="1059">
        <v>3.0670109999999999</v>
      </c>
      <c r="AO50" s="1059">
        <v>3.1012659999999999</v>
      </c>
      <c r="AP50" s="1059">
        <v>3.134995</v>
      </c>
      <c r="AQ50" s="1059">
        <v>3.169994</v>
      </c>
      <c r="AR50" s="1059">
        <v>3.2015440000000002</v>
      </c>
      <c r="AS50" s="1055"/>
      <c r="AT50" s="1055"/>
      <c r="AU50" s="1055"/>
      <c r="AV50" s="1055"/>
      <c r="AW50" s="1055"/>
      <c r="AX50" s="1055"/>
      <c r="AY50" s="1055"/>
      <c r="AZ50" s="1055"/>
      <c r="BA50" s="1055"/>
      <c r="BB50" s="1055"/>
      <c r="BC50" s="1055"/>
      <c r="BD50" s="1055"/>
      <c r="BE50" s="1055"/>
      <c r="BF50" s="1055"/>
      <c r="BG50" s="1055"/>
      <c r="BH50" s="1055"/>
      <c r="BI50" s="1055"/>
      <c r="BJ50" s="1055"/>
      <c r="BK50" s="1055"/>
      <c r="BL50" s="1055"/>
      <c r="BM50" s="1055"/>
      <c r="BN50" s="1055"/>
      <c r="BO50" s="1055"/>
      <c r="BP50" s="1055"/>
      <c r="BQ50" s="1055"/>
      <c r="BR50" s="1055"/>
      <c r="BS50" s="1055"/>
      <c r="BT50" s="1055"/>
      <c r="BU50" s="1055"/>
      <c r="BV50" s="1057"/>
    </row>
    <row r="51" spans="1:104" s="1053" customFormat="1" x14ac:dyDescent="0.25">
      <c r="A51" s="1058" t="s">
        <v>683</v>
      </c>
      <c r="B51" s="1055"/>
      <c r="C51" s="1056"/>
      <c r="D51" s="1253"/>
      <c r="E51" s="1056"/>
      <c r="F51" s="1055"/>
      <c r="G51" s="1055"/>
      <c r="H51" s="1055"/>
      <c r="I51" s="1055"/>
      <c r="J51" s="1055"/>
      <c r="K51" s="1055"/>
      <c r="L51" s="1055"/>
      <c r="M51" s="1055"/>
      <c r="N51" s="1059">
        <v>30.492578999999999</v>
      </c>
      <c r="O51" s="1059">
        <v>29.980651999999999</v>
      </c>
      <c r="P51" s="1059">
        <v>28.463469</v>
      </c>
      <c r="Q51" s="1059">
        <v>27.770492999999998</v>
      </c>
      <c r="R51" s="1059">
        <v>27.844252000000001</v>
      </c>
      <c r="S51" s="1059">
        <v>27.733993999999999</v>
      </c>
      <c r="T51" s="1059">
        <v>28.230274000000001</v>
      </c>
      <c r="U51" s="1059">
        <v>28.517765000000001</v>
      </c>
      <c r="V51" s="1059">
        <v>28.644997</v>
      </c>
      <c r="W51" s="1059">
        <v>28.576813000000001</v>
      </c>
      <c r="X51" s="1059">
        <v>28.566559000000002</v>
      </c>
      <c r="Y51" s="1059">
        <v>28.675744999999999</v>
      </c>
      <c r="Z51" s="1059">
        <v>28.66461</v>
      </c>
      <c r="AA51" s="1059">
        <v>28.628443000000001</v>
      </c>
      <c r="AB51" s="1059">
        <v>28.632759</v>
      </c>
      <c r="AC51" s="1059">
        <v>28.485842000000002</v>
      </c>
      <c r="AD51" s="1059">
        <v>28.378672000000002</v>
      </c>
      <c r="AE51" s="1059">
        <v>28.369689999999999</v>
      </c>
      <c r="AF51" s="1059">
        <v>28.482963999999999</v>
      </c>
      <c r="AG51" s="1059">
        <v>28.577332999999999</v>
      </c>
      <c r="AH51" s="1059">
        <v>28.652301999999999</v>
      </c>
      <c r="AI51" s="1059">
        <v>28.781072999999999</v>
      </c>
      <c r="AJ51" s="1059">
        <v>28.912566999999999</v>
      </c>
      <c r="AK51" s="1059">
        <v>29.081726</v>
      </c>
      <c r="AL51" s="1059">
        <v>29.271111999999999</v>
      </c>
      <c r="AM51" s="1059">
        <v>29.658476</v>
      </c>
      <c r="AN51" s="1059">
        <v>30.101704000000002</v>
      </c>
      <c r="AO51" s="1059">
        <v>30.503069</v>
      </c>
      <c r="AP51" s="1059">
        <v>30.944068999999999</v>
      </c>
      <c r="AQ51" s="1059">
        <v>31.476562000000001</v>
      </c>
      <c r="AR51" s="1059">
        <v>31.747146999999998</v>
      </c>
      <c r="AS51" s="1055"/>
      <c r="AT51" s="1055"/>
      <c r="AU51" s="1055"/>
      <c r="AV51" s="1055"/>
      <c r="AW51" s="1055"/>
      <c r="AX51" s="1055"/>
      <c r="AY51" s="1055"/>
      <c r="AZ51" s="1055"/>
      <c r="BA51" s="1055"/>
      <c r="BB51" s="1055"/>
      <c r="BC51" s="1055"/>
      <c r="BD51" s="1055"/>
      <c r="BE51" s="1055"/>
      <c r="BF51" s="1055"/>
      <c r="BG51" s="1055"/>
      <c r="BH51" s="1055"/>
      <c r="BI51" s="1055"/>
      <c r="BJ51" s="1055"/>
      <c r="BK51" s="1055"/>
      <c r="BL51" s="1055"/>
      <c r="BM51" s="1055"/>
      <c r="BN51" s="1055"/>
      <c r="BO51" s="1055"/>
      <c r="BP51" s="1055"/>
      <c r="BQ51" s="1055"/>
      <c r="BR51" s="1055"/>
      <c r="BS51" s="1055"/>
      <c r="BT51" s="1055"/>
      <c r="BU51" s="1055"/>
      <c r="BV51" s="1057"/>
    </row>
    <row r="52" spans="1:104" s="1053" customFormat="1" x14ac:dyDescent="0.25">
      <c r="A52" s="1058" t="s">
        <v>698</v>
      </c>
      <c r="B52" s="1055"/>
      <c r="C52" s="1056"/>
      <c r="D52" s="1253"/>
      <c r="E52" s="1056"/>
      <c r="F52" s="1055"/>
      <c r="G52" s="1055"/>
      <c r="H52" s="1055"/>
      <c r="I52" s="1055"/>
      <c r="J52" s="1055"/>
      <c r="K52" s="1055"/>
      <c r="L52" s="1055"/>
      <c r="M52" s="1055"/>
      <c r="N52" s="1059">
        <v>20.260442999999999</v>
      </c>
      <c r="O52" s="1059">
        <v>19.975739999999998</v>
      </c>
      <c r="P52" s="1059">
        <v>18.436015999999999</v>
      </c>
      <c r="Q52" s="1059">
        <v>18.142965</v>
      </c>
      <c r="R52" s="1059">
        <v>18.046112000000001</v>
      </c>
      <c r="S52" s="1059">
        <v>17.884491000000001</v>
      </c>
      <c r="T52" s="1059">
        <v>18.368113000000001</v>
      </c>
      <c r="U52" s="1059">
        <v>18.636278000000001</v>
      </c>
      <c r="V52" s="1059">
        <v>18.783104000000002</v>
      </c>
      <c r="W52" s="1059">
        <v>18.727132999999998</v>
      </c>
      <c r="X52" s="1059">
        <v>18.720291</v>
      </c>
      <c r="Y52" s="1059">
        <v>18.854441000000001</v>
      </c>
      <c r="Z52" s="1059">
        <v>18.961594000000002</v>
      </c>
      <c r="AA52" s="1059">
        <v>19.089853000000002</v>
      </c>
      <c r="AB52" s="1059">
        <v>19.158766</v>
      </c>
      <c r="AC52" s="1059">
        <v>19.181961000000001</v>
      </c>
      <c r="AD52" s="1059">
        <v>19.274345</v>
      </c>
      <c r="AE52" s="1059">
        <v>19.362473000000001</v>
      </c>
      <c r="AF52" s="1059">
        <v>19.467001</v>
      </c>
      <c r="AG52" s="1059">
        <v>19.610374</v>
      </c>
      <c r="AH52" s="1059">
        <v>19.726358000000001</v>
      </c>
      <c r="AI52" s="1059">
        <v>19.866886000000001</v>
      </c>
      <c r="AJ52" s="1059">
        <v>20.029399999999999</v>
      </c>
      <c r="AK52" s="1059">
        <v>20.204810999999999</v>
      </c>
      <c r="AL52" s="1059">
        <v>20.42868</v>
      </c>
      <c r="AM52" s="1059">
        <v>20.795019</v>
      </c>
      <c r="AN52" s="1059">
        <v>21.263971000000002</v>
      </c>
      <c r="AO52" s="1059">
        <v>21.670811</v>
      </c>
      <c r="AP52" s="1059">
        <v>22.067454999999999</v>
      </c>
      <c r="AQ52" s="1059">
        <v>22.488647</v>
      </c>
      <c r="AR52" s="1059">
        <v>22.744430999999999</v>
      </c>
      <c r="AS52" s="1055"/>
      <c r="AT52" s="1055"/>
      <c r="AU52" s="1055"/>
      <c r="AV52" s="1055"/>
      <c r="AW52" s="1055"/>
      <c r="AX52" s="1055"/>
      <c r="AY52" s="1055"/>
      <c r="AZ52" s="1055"/>
      <c r="BA52" s="1055"/>
      <c r="BB52" s="1055"/>
      <c r="BC52" s="1055"/>
      <c r="BD52" s="1055"/>
      <c r="BE52" s="1055"/>
      <c r="BF52" s="1055"/>
      <c r="BG52" s="1055"/>
      <c r="BH52" s="1055"/>
      <c r="BI52" s="1055"/>
      <c r="BJ52" s="1055"/>
      <c r="BK52" s="1055"/>
      <c r="BL52" s="1055"/>
      <c r="BM52" s="1055"/>
      <c r="BN52" s="1055"/>
      <c r="BO52" s="1055"/>
      <c r="BP52" s="1055"/>
      <c r="BQ52" s="1055"/>
      <c r="BR52" s="1055"/>
      <c r="BS52" s="1055"/>
      <c r="BT52" s="1055"/>
      <c r="BU52" s="1055"/>
      <c r="BV52" s="1057"/>
    </row>
    <row r="53" spans="1:104" s="1053" customFormat="1" ht="13" thickBot="1" x14ac:dyDescent="0.3">
      <c r="A53" s="1062" t="s">
        <v>684</v>
      </c>
      <c r="B53" s="1063"/>
      <c r="C53" s="1064"/>
      <c r="D53" s="1254"/>
      <c r="E53" s="1064"/>
      <c r="F53" s="1063"/>
      <c r="G53" s="1063"/>
      <c r="H53" s="1063"/>
      <c r="I53" s="1063"/>
      <c r="J53" s="1063"/>
      <c r="K53" s="1063"/>
      <c r="L53" s="1063"/>
      <c r="M53" s="1063"/>
      <c r="N53" s="1065">
        <v>34.522823000000002</v>
      </c>
      <c r="O53" s="1065">
        <v>34.335875999999999</v>
      </c>
      <c r="P53" s="1065">
        <v>33.266716000000002</v>
      </c>
      <c r="Q53" s="1065">
        <v>32.549408</v>
      </c>
      <c r="R53" s="1065">
        <v>33.007488000000002</v>
      </c>
      <c r="S53" s="1065">
        <v>33.062362999999998</v>
      </c>
      <c r="T53" s="1065">
        <v>33.578304000000003</v>
      </c>
      <c r="U53" s="1065">
        <v>33.826259999999998</v>
      </c>
      <c r="V53" s="1065">
        <v>33.834632999999997</v>
      </c>
      <c r="W53" s="1065">
        <v>33.642589999999998</v>
      </c>
      <c r="X53" s="1065">
        <v>33.615443999999997</v>
      </c>
      <c r="Y53" s="1065">
        <v>33.658813000000002</v>
      </c>
      <c r="Z53" s="1065">
        <v>33.691249999999997</v>
      </c>
      <c r="AA53" s="1065">
        <v>33.703487000000003</v>
      </c>
      <c r="AB53" s="1065">
        <v>33.839970000000001</v>
      </c>
      <c r="AC53" s="1065">
        <v>33.959377000000003</v>
      </c>
      <c r="AD53" s="1065">
        <v>34.126075999999998</v>
      </c>
      <c r="AE53" s="1065">
        <v>34.265704999999997</v>
      </c>
      <c r="AF53" s="1065">
        <v>34.413651000000002</v>
      </c>
      <c r="AG53" s="1065">
        <v>34.510967000000001</v>
      </c>
      <c r="AH53" s="1065">
        <v>34.561591999999997</v>
      </c>
      <c r="AI53" s="1065">
        <v>34.686400999999996</v>
      </c>
      <c r="AJ53" s="1065">
        <v>34.807406999999998</v>
      </c>
      <c r="AK53" s="1065">
        <v>34.923721</v>
      </c>
      <c r="AL53" s="1065">
        <v>35.082526999999999</v>
      </c>
      <c r="AM53" s="1065">
        <v>35.421287999999997</v>
      </c>
      <c r="AN53" s="1065">
        <v>35.835976000000002</v>
      </c>
      <c r="AO53" s="1065">
        <v>36.175975999999999</v>
      </c>
      <c r="AP53" s="1065">
        <v>36.502800000000001</v>
      </c>
      <c r="AQ53" s="1065">
        <v>36.906086000000002</v>
      </c>
      <c r="AR53" s="1065">
        <v>37.098595000000003</v>
      </c>
      <c r="AS53" s="1063"/>
      <c r="AT53" s="1063"/>
      <c r="AU53" s="1063"/>
      <c r="AV53" s="1063"/>
      <c r="AW53" s="1063"/>
      <c r="AX53" s="1063"/>
      <c r="AY53" s="1063"/>
      <c r="AZ53" s="1063"/>
      <c r="BA53" s="1063"/>
      <c r="BB53" s="1063"/>
      <c r="BC53" s="1063"/>
      <c r="BD53" s="1063"/>
      <c r="BE53" s="1063"/>
      <c r="BF53" s="1063"/>
      <c r="BG53" s="1063"/>
      <c r="BH53" s="1063"/>
      <c r="BI53" s="1063"/>
      <c r="BJ53" s="1063"/>
      <c r="BK53" s="1063"/>
      <c r="BL53" s="1063"/>
      <c r="BM53" s="1063"/>
      <c r="BN53" s="1063"/>
      <c r="BO53" s="1063"/>
      <c r="BP53" s="1063"/>
      <c r="BQ53" s="1063"/>
      <c r="BR53" s="1063"/>
      <c r="BS53" s="1063"/>
      <c r="BT53" s="1063"/>
      <c r="BU53" s="1063"/>
      <c r="BV53" s="1066"/>
    </row>
    <row r="54" spans="1:104" x14ac:dyDescent="0.25">
      <c r="A54" s="877"/>
      <c r="B54" s="260"/>
      <c r="C54" s="874"/>
      <c r="D54" s="1251"/>
      <c r="E54" s="874"/>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6"/>
    </row>
    <row r="55" spans="1:104" ht="13" thickBot="1" x14ac:dyDescent="0.3">
      <c r="A55" s="877"/>
      <c r="B55" s="260"/>
      <c r="C55" s="874"/>
      <c r="D55" s="1251"/>
      <c r="E55" s="881"/>
      <c r="F55" s="88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6"/>
    </row>
    <row r="56" spans="1:104" ht="13.5" thickTop="1" x14ac:dyDescent="0.3">
      <c r="A56" s="867" t="s">
        <v>1106</v>
      </c>
      <c r="B56" s="868" t="str">
        <f>"Prices are in $(" &amp; ref_year&amp;")/GJ LHV"</f>
        <v>Prices are in $(2016)/GJ LHV</v>
      </c>
      <c r="C56" s="868"/>
      <c r="D56" s="1255"/>
      <c r="E56" s="868"/>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869"/>
      <c r="AK56" s="869"/>
      <c r="AL56" s="869"/>
      <c r="AM56" s="869"/>
      <c r="AN56" s="869"/>
      <c r="AO56" s="869"/>
      <c r="AP56" s="869"/>
      <c r="AQ56" s="869"/>
      <c r="AR56" s="869"/>
      <c r="AS56" s="882" t="s">
        <v>772</v>
      </c>
      <c r="AT56" s="883"/>
      <c r="AU56" s="883"/>
      <c r="AV56" s="883"/>
      <c r="AW56" s="883"/>
      <c r="AX56" s="883"/>
      <c r="AY56" s="883"/>
      <c r="AZ56" s="883"/>
      <c r="BA56" s="883"/>
      <c r="BB56" s="883"/>
      <c r="BC56" s="883"/>
      <c r="BD56" s="883"/>
      <c r="BE56" s="883"/>
      <c r="BF56" s="883"/>
      <c r="BG56" s="883"/>
      <c r="BH56" s="883"/>
      <c r="BI56" s="883"/>
      <c r="BJ56" s="883"/>
      <c r="BK56" s="883"/>
      <c r="BL56" s="883"/>
      <c r="BM56" s="883"/>
      <c r="BN56" s="883"/>
      <c r="BO56" s="883"/>
      <c r="BP56" s="883"/>
      <c r="BQ56" s="883"/>
      <c r="BR56" s="883"/>
      <c r="BS56" s="883"/>
      <c r="BT56" s="883"/>
      <c r="BU56" s="883"/>
      <c r="BV56" s="884"/>
    </row>
    <row r="57" spans="1:104" ht="39.5" thickBot="1" x14ac:dyDescent="0.35">
      <c r="A57" s="1122" t="s">
        <v>1084</v>
      </c>
      <c r="B57" s="1123" t="s">
        <v>678</v>
      </c>
      <c r="C57" s="1123" t="s">
        <v>679</v>
      </c>
      <c r="D57" s="1256" t="s">
        <v>690</v>
      </c>
      <c r="E57" s="1123" t="s">
        <v>691</v>
      </c>
      <c r="F57" s="1124" t="s">
        <v>680</v>
      </c>
      <c r="G57" s="1124" t="s">
        <v>692</v>
      </c>
      <c r="H57" s="1067">
        <v>2004</v>
      </c>
      <c r="I57" s="1067">
        <v>2005</v>
      </c>
      <c r="J57" s="1067">
        <v>2006</v>
      </c>
      <c r="K57" s="1067">
        <v>2007</v>
      </c>
      <c r="L57" s="1067">
        <v>2008</v>
      </c>
      <c r="M57" s="1067">
        <v>2009</v>
      </c>
      <c r="N57" s="1124">
        <v>2010</v>
      </c>
      <c r="O57" s="1124">
        <v>2011</v>
      </c>
      <c r="P57" s="1124">
        <v>2012</v>
      </c>
      <c r="Q57" s="1124">
        <v>2013</v>
      </c>
      <c r="R57" s="1124">
        <v>2014</v>
      </c>
      <c r="S57" s="1124">
        <v>2015</v>
      </c>
      <c r="T57" s="1124">
        <v>2016</v>
      </c>
      <c r="U57" s="1124">
        <v>2017</v>
      </c>
      <c r="V57" s="1124">
        <v>2018</v>
      </c>
      <c r="W57" s="1124">
        <v>2019</v>
      </c>
      <c r="X57" s="1124">
        <v>2020</v>
      </c>
      <c r="Y57" s="1124">
        <v>2021</v>
      </c>
      <c r="Z57" s="1124">
        <v>2022</v>
      </c>
      <c r="AA57" s="1124">
        <v>2023</v>
      </c>
      <c r="AB57" s="1124">
        <v>2024</v>
      </c>
      <c r="AC57" s="1124">
        <v>2025</v>
      </c>
      <c r="AD57" s="1124">
        <v>2026</v>
      </c>
      <c r="AE57" s="1124">
        <v>2027</v>
      </c>
      <c r="AF57" s="1124">
        <v>2028</v>
      </c>
      <c r="AG57" s="1124">
        <v>2029</v>
      </c>
      <c r="AH57" s="1124">
        <v>2030</v>
      </c>
      <c r="AI57" s="1124">
        <v>2031</v>
      </c>
      <c r="AJ57" s="1124">
        <v>2032</v>
      </c>
      <c r="AK57" s="1124">
        <v>2033</v>
      </c>
      <c r="AL57" s="1124">
        <v>2034</v>
      </c>
      <c r="AM57" s="1124">
        <v>2035</v>
      </c>
      <c r="AN57" s="1124">
        <v>2036</v>
      </c>
      <c r="AO57" s="1124">
        <v>2037</v>
      </c>
      <c r="AP57" s="1124">
        <v>2038</v>
      </c>
      <c r="AQ57" s="1124">
        <v>2039</v>
      </c>
      <c r="AR57" s="1124">
        <v>2040</v>
      </c>
      <c r="AS57" s="1124">
        <v>2041</v>
      </c>
      <c r="AT57" s="1124">
        <v>2042</v>
      </c>
      <c r="AU57" s="1124">
        <v>2043</v>
      </c>
      <c r="AV57" s="1124">
        <v>2044</v>
      </c>
      <c r="AW57" s="1124">
        <v>2045</v>
      </c>
      <c r="AX57" s="1124">
        <v>2046</v>
      </c>
      <c r="AY57" s="1124">
        <v>2047</v>
      </c>
      <c r="AZ57" s="1124">
        <v>2048</v>
      </c>
      <c r="BA57" s="1124">
        <v>2049</v>
      </c>
      <c r="BB57" s="1124">
        <v>2050</v>
      </c>
      <c r="BC57" s="1124">
        <v>2051</v>
      </c>
      <c r="BD57" s="1124">
        <v>2052</v>
      </c>
      <c r="BE57" s="1124">
        <v>2053</v>
      </c>
      <c r="BF57" s="1124">
        <v>2054</v>
      </c>
      <c r="BG57" s="1124">
        <v>2055</v>
      </c>
      <c r="BH57" s="1124">
        <v>2056</v>
      </c>
      <c r="BI57" s="1124">
        <v>2057</v>
      </c>
      <c r="BJ57" s="1124">
        <v>2058</v>
      </c>
      <c r="BK57" s="1124">
        <v>2059</v>
      </c>
      <c r="BL57" s="1124">
        <v>2060</v>
      </c>
      <c r="BM57" s="1124">
        <v>2061</v>
      </c>
      <c r="BN57" s="1124">
        <v>2062</v>
      </c>
      <c r="BO57" s="1124">
        <v>2063</v>
      </c>
      <c r="BP57" s="1124">
        <v>2064</v>
      </c>
      <c r="BQ57" s="1124">
        <v>2065</v>
      </c>
      <c r="BR57" s="1124">
        <v>2066</v>
      </c>
      <c r="BS57" s="1124">
        <v>2067</v>
      </c>
      <c r="BT57" s="1124">
        <v>2068</v>
      </c>
      <c r="BU57" s="1124">
        <v>2069</v>
      </c>
      <c r="BV57" s="1125">
        <v>2070</v>
      </c>
      <c r="BW57" s="1399">
        <f t="shared" ref="BW57" si="130">+BV57+1</f>
        <v>2071</v>
      </c>
      <c r="BX57" s="1399">
        <f t="shared" ref="BX57" si="131">+BW57+1</f>
        <v>2072</v>
      </c>
      <c r="BY57" s="1399">
        <f t="shared" ref="BY57" si="132">+BX57+1</f>
        <v>2073</v>
      </c>
      <c r="BZ57" s="1399">
        <f t="shared" ref="BZ57" si="133">+BY57+1</f>
        <v>2074</v>
      </c>
      <c r="CA57" s="1399">
        <f t="shared" ref="CA57" si="134">+BZ57+1</f>
        <v>2075</v>
      </c>
      <c r="CB57" s="1399">
        <f t="shared" ref="CB57" si="135">+CA57+1</f>
        <v>2076</v>
      </c>
      <c r="CC57" s="1399">
        <f t="shared" ref="CC57" si="136">+CB57+1</f>
        <v>2077</v>
      </c>
      <c r="CD57" s="1399">
        <f t="shared" ref="CD57" si="137">+CC57+1</f>
        <v>2078</v>
      </c>
      <c r="CE57" s="1399">
        <f t="shared" ref="CE57" si="138">+CD57+1</f>
        <v>2079</v>
      </c>
      <c r="CF57" s="1399">
        <f t="shared" ref="CF57" si="139">+CE57+1</f>
        <v>2080</v>
      </c>
      <c r="CG57" s="1399">
        <f t="shared" ref="CG57" si="140">+CF57+1</f>
        <v>2081</v>
      </c>
      <c r="CH57" s="1399">
        <f t="shared" ref="CH57" si="141">+CG57+1</f>
        <v>2082</v>
      </c>
      <c r="CI57" s="1399">
        <f t="shared" ref="CI57" si="142">+CH57+1</f>
        <v>2083</v>
      </c>
      <c r="CJ57" s="1399">
        <f t="shared" ref="CJ57" si="143">+CI57+1</f>
        <v>2084</v>
      </c>
      <c r="CK57" s="1399">
        <f t="shared" ref="CK57" si="144">+CJ57+1</f>
        <v>2085</v>
      </c>
      <c r="CL57" s="1399">
        <f t="shared" ref="CL57" si="145">+CK57+1</f>
        <v>2086</v>
      </c>
      <c r="CM57" s="1399">
        <f t="shared" ref="CM57" si="146">+CL57+1</f>
        <v>2087</v>
      </c>
      <c r="CN57" s="1399">
        <f t="shared" ref="CN57" si="147">+CM57+1</f>
        <v>2088</v>
      </c>
      <c r="CO57" s="1399">
        <f t="shared" ref="CO57" si="148">+CN57+1</f>
        <v>2089</v>
      </c>
      <c r="CP57" s="1399">
        <f t="shared" ref="CP57" si="149">+CO57+1</f>
        <v>2090</v>
      </c>
      <c r="CQ57" s="1399">
        <f t="shared" ref="CQ57" si="150">+CP57+1</f>
        <v>2091</v>
      </c>
      <c r="CR57" s="1399">
        <f t="shared" ref="CR57" si="151">+CQ57+1</f>
        <v>2092</v>
      </c>
      <c r="CS57" s="1399">
        <f t="shared" ref="CS57" si="152">+CR57+1</f>
        <v>2093</v>
      </c>
      <c r="CT57" s="1399">
        <f t="shared" ref="CT57" si="153">+CS57+1</f>
        <v>2094</v>
      </c>
      <c r="CU57" s="1399">
        <f t="shared" ref="CU57" si="154">+CT57+1</f>
        <v>2095</v>
      </c>
      <c r="CV57" s="1399">
        <f t="shared" ref="CV57" si="155">+CU57+1</f>
        <v>2096</v>
      </c>
      <c r="CW57" s="1399">
        <f t="shared" ref="CW57" si="156">+CV57+1</f>
        <v>2097</v>
      </c>
      <c r="CX57" s="1399">
        <f t="shared" ref="CX57" si="157">+CW57+1</f>
        <v>2098</v>
      </c>
      <c r="CY57" s="1399">
        <f t="shared" ref="CY57" si="158">+CX57+1</f>
        <v>2099</v>
      </c>
      <c r="CZ57" s="1399">
        <f t="shared" ref="CZ57" si="159">+CY57+1</f>
        <v>2100</v>
      </c>
    </row>
    <row r="58" spans="1:104" ht="13" thickBot="1" x14ac:dyDescent="0.3">
      <c r="A58" s="870" t="s">
        <v>1090</v>
      </c>
      <c r="B58" s="871"/>
      <c r="C58" s="871"/>
      <c r="D58" s="1257"/>
      <c r="E58" s="871"/>
      <c r="F58" s="871"/>
      <c r="G58" s="871"/>
      <c r="H58" s="871"/>
      <c r="I58" s="871"/>
      <c r="J58" s="871"/>
      <c r="K58" s="871"/>
      <c r="L58" s="871"/>
      <c r="M58" s="871"/>
      <c r="N58" s="871"/>
      <c r="O58" s="871"/>
      <c r="P58" s="871"/>
      <c r="Q58" s="871"/>
      <c r="R58" s="871"/>
      <c r="S58" s="871"/>
      <c r="T58" s="871"/>
      <c r="U58" s="871"/>
      <c r="V58" s="871"/>
      <c r="W58" s="871"/>
      <c r="X58" s="871"/>
      <c r="Y58" s="871"/>
      <c r="Z58" s="871"/>
      <c r="AA58" s="871"/>
      <c r="AB58" s="871"/>
      <c r="AC58" s="871"/>
      <c r="AD58" s="871"/>
      <c r="AE58" s="871"/>
      <c r="AF58" s="871"/>
      <c r="AG58" s="871"/>
      <c r="AH58" s="871"/>
      <c r="AI58" s="871"/>
      <c r="AJ58" s="871"/>
      <c r="AK58" s="871"/>
      <c r="AL58" s="871"/>
      <c r="AM58" s="871"/>
      <c r="AN58" s="871"/>
      <c r="AO58" s="871"/>
      <c r="AP58" s="871"/>
      <c r="AQ58" s="871"/>
      <c r="AR58" s="871"/>
      <c r="AS58" s="871"/>
      <c r="AT58" s="871"/>
      <c r="AU58" s="871"/>
      <c r="AV58" s="871"/>
      <c r="AW58" s="871"/>
      <c r="AX58" s="871"/>
      <c r="AY58" s="871"/>
      <c r="AZ58" s="871"/>
      <c r="BA58" s="871"/>
      <c r="BB58" s="871"/>
      <c r="BC58" s="871"/>
      <c r="BD58" s="871"/>
      <c r="BE58" s="871"/>
      <c r="BF58" s="871"/>
      <c r="BG58" s="871"/>
      <c r="BH58" s="871"/>
      <c r="BI58" s="871"/>
      <c r="BJ58" s="871"/>
      <c r="BK58" s="871"/>
      <c r="BL58" s="871"/>
      <c r="BM58" s="871"/>
      <c r="BN58" s="871"/>
      <c r="BO58" s="871"/>
      <c r="BP58" s="871"/>
      <c r="BQ58" s="871"/>
      <c r="BR58" s="871"/>
      <c r="BS58" s="871"/>
      <c r="BT58" s="871"/>
      <c r="BU58" s="871"/>
      <c r="BV58" s="872"/>
    </row>
    <row r="59" spans="1:104" ht="13" x14ac:dyDescent="0.3">
      <c r="A59" s="873" t="str">
        <f>'HyARC Physical Property Data'!A73</f>
        <v>Residential Natural Gas</v>
      </c>
      <c r="B59" s="260">
        <v>2011</v>
      </c>
      <c r="C59" s="874">
        <f>VLOOKUP(ref_year,DeflatorTable,2,FALSE)/VLOOKUP(B59,DeflatorTable,2,FALSE)</f>
        <v>1.0784554773635862</v>
      </c>
      <c r="D59" s="1258" t="str">
        <f>'HyARC Physical Property Data'!H73</f>
        <v>mmBtu</v>
      </c>
      <c r="E59" s="874" t="s">
        <v>1058</v>
      </c>
      <c r="F59" s="260">
        <f>'HyARC Physical Property Data'!$E$6</f>
        <v>47.141269049911173</v>
      </c>
      <c r="G59" s="260">
        <f>'HyARC Physical Property Data'!$I$6</f>
        <v>52.224661236371581</v>
      </c>
      <c r="H59" s="1069">
        <v>13.568796522291001</v>
      </c>
      <c r="I59" s="1069">
        <v>13.568796522291001</v>
      </c>
      <c r="J59" s="1069">
        <v>13.568796522291001</v>
      </c>
      <c r="K59" s="1069">
        <v>12.569562315288914</v>
      </c>
      <c r="L59" s="1069">
        <v>12.891154499364562</v>
      </c>
      <c r="M59" s="1069">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9">
        <f t="shared" si="160"/>
        <v>16.116906877885302</v>
      </c>
      <c r="AJ59" s="959">
        <f t="shared" si="160"/>
        <v>16.508795790382088</v>
      </c>
      <c r="AK59" s="959">
        <f t="shared" si="160"/>
        <v>16.937809113598334</v>
      </c>
      <c r="AL59" s="959">
        <f t="shared" si="160"/>
        <v>17.381004274269273</v>
      </c>
      <c r="AM59" s="959">
        <f t="shared" si="160"/>
        <v>17.788911879634913</v>
      </c>
      <c r="AN59" s="959">
        <f t="shared" si="160"/>
        <v>18.311687498791546</v>
      </c>
      <c r="AO59" s="959">
        <f t="shared" si="160"/>
        <v>18.65334373828842</v>
      </c>
      <c r="AP59" s="959">
        <f t="shared" si="160"/>
        <v>19.195162859691969</v>
      </c>
      <c r="AQ59" s="959">
        <f t="shared" si="160"/>
        <v>19.682735858288098</v>
      </c>
      <c r="AR59" s="959">
        <f t="shared" si="160"/>
        <v>20.015032288908259</v>
      </c>
      <c r="AS59" s="959">
        <f>($BB59-$AR59)/10+AR59</f>
        <v>20.01518684253227</v>
      </c>
      <c r="AT59" s="959">
        <f t="shared" ref="AT59:BA59" si="161">($BB59-$AR59)/10+AS59</f>
        <v>20.01534139615628</v>
      </c>
      <c r="AU59" s="959">
        <f t="shared" si="161"/>
        <v>20.015495949780291</v>
      </c>
      <c r="AV59" s="959">
        <f t="shared" si="161"/>
        <v>20.015650503404302</v>
      </c>
      <c r="AW59" s="959">
        <f t="shared" si="161"/>
        <v>20.015805057028313</v>
      </c>
      <c r="AX59" s="959">
        <f t="shared" si="161"/>
        <v>20.015959610652324</v>
      </c>
      <c r="AY59" s="959">
        <f t="shared" si="161"/>
        <v>20.016114164276335</v>
      </c>
      <c r="AZ59" s="959">
        <f t="shared" si="161"/>
        <v>20.016268717900346</v>
      </c>
      <c r="BA59" s="959">
        <f t="shared" si="161"/>
        <v>20.016423271524356</v>
      </c>
      <c r="BB59" s="961">
        <f>'AEO Data'!$B$30*AM59</f>
        <v>20.01657782514836</v>
      </c>
      <c r="BC59" s="959">
        <f>($BQ59-$BB59)/15+BB59</f>
        <v>20.179679524085394</v>
      </c>
      <c r="BD59" s="959">
        <f t="shared" ref="BD59:BP62" si="162">($BQ59-$BB59)/15+BC59</f>
        <v>20.342781223022428</v>
      </c>
      <c r="BE59" s="959">
        <f t="shared" si="162"/>
        <v>20.505882921959461</v>
      </c>
      <c r="BF59" s="959">
        <f t="shared" si="162"/>
        <v>20.668984620896495</v>
      </c>
      <c r="BG59" s="959">
        <f t="shared" si="162"/>
        <v>20.832086319833529</v>
      </c>
      <c r="BH59" s="959">
        <f t="shared" si="162"/>
        <v>20.995188018770563</v>
      </c>
      <c r="BI59" s="959">
        <f t="shared" si="162"/>
        <v>21.158289717707596</v>
      </c>
      <c r="BJ59" s="959">
        <f t="shared" si="162"/>
        <v>21.32139141664463</v>
      </c>
      <c r="BK59" s="959">
        <f t="shared" si="162"/>
        <v>21.484493115581664</v>
      </c>
      <c r="BL59" s="959">
        <f t="shared" si="162"/>
        <v>21.647594814518698</v>
      </c>
      <c r="BM59" s="959">
        <f t="shared" si="162"/>
        <v>21.810696513455731</v>
      </c>
      <c r="BN59" s="959">
        <f t="shared" si="162"/>
        <v>21.973798212392765</v>
      </c>
      <c r="BO59" s="959">
        <f t="shared" si="162"/>
        <v>22.136899911329799</v>
      </c>
      <c r="BP59" s="959">
        <f t="shared" si="162"/>
        <v>22.300001610266833</v>
      </c>
      <c r="BQ59" s="961">
        <f>'AEO Data'!$C$30*BB59</f>
        <v>22.463103309203859</v>
      </c>
      <c r="BR59" s="958">
        <f>($BV59-$BQ59)/5+BQ59</f>
        <v>22.591499473992489</v>
      </c>
      <c r="BS59" s="959">
        <f t="shared" ref="BS59:BU62" si="163">($BV59-$BQ59)/5+BR59</f>
        <v>22.719895638781118</v>
      </c>
      <c r="BT59" s="959">
        <f t="shared" si="163"/>
        <v>22.848291803569747</v>
      </c>
      <c r="BU59" s="959">
        <f t="shared" si="163"/>
        <v>22.976687968358377</v>
      </c>
      <c r="BV59" s="962">
        <f>'AEO Data'!$D$30*BQ59</f>
        <v>23.105084133146999</v>
      </c>
      <c r="BW59" s="1398">
        <f>+BV59*BW$133/BV$133</f>
        <v>23.181799806296944</v>
      </c>
      <c r="BX59" s="1398">
        <f t="shared" ref="BX59:CZ59" si="164">+BW59*BX$133/BW$133</f>
        <v>23.258770198039247</v>
      </c>
      <c r="BY59" s="1398">
        <f t="shared" si="164"/>
        <v>23.335996154114543</v>
      </c>
      <c r="BZ59" s="1398">
        <f t="shared" si="164"/>
        <v>23.413478523071561</v>
      </c>
      <c r="CA59" s="1398">
        <f t="shared" si="164"/>
        <v>23.491218156276457</v>
      </c>
      <c r="CB59" s="1398">
        <f t="shared" si="164"/>
        <v>23.541346730111329</v>
      </c>
      <c r="CC59" s="1398">
        <f t="shared" si="164"/>
        <v>23.591582274725578</v>
      </c>
      <c r="CD59" s="1398">
        <f t="shared" si="164"/>
        <v>23.641925018387173</v>
      </c>
      <c r="CE59" s="1398">
        <f t="shared" si="164"/>
        <v>23.692375189851191</v>
      </c>
      <c r="CF59" s="1398">
        <f t="shared" si="164"/>
        <v>23.742933018360848</v>
      </c>
      <c r="CG59" s="1398">
        <f t="shared" si="164"/>
        <v>23.759348824569351</v>
      </c>
      <c r="CH59" s="1398">
        <f t="shared" si="164"/>
        <v>23.775775980626385</v>
      </c>
      <c r="CI59" s="1398">
        <f t="shared" si="164"/>
        <v>23.792214494379209</v>
      </c>
      <c r="CJ59" s="1398">
        <f t="shared" si="164"/>
        <v>23.808664373680507</v>
      </c>
      <c r="CK59" s="1398">
        <f t="shared" si="164"/>
        <v>23.825125626388392</v>
      </c>
      <c r="CL59" s="1398">
        <f t="shared" si="164"/>
        <v>23.830705260336195</v>
      </c>
      <c r="CM59" s="1398">
        <f t="shared" si="164"/>
        <v>23.836286200984979</v>
      </c>
      <c r="CN59" s="1398">
        <f t="shared" si="164"/>
        <v>23.841868448640763</v>
      </c>
      <c r="CO59" s="1398">
        <f t="shared" si="164"/>
        <v>23.847452003609632</v>
      </c>
      <c r="CP59" s="1398">
        <f t="shared" si="164"/>
        <v>23.853036866197748</v>
      </c>
      <c r="CQ59" s="1398">
        <f t="shared" si="164"/>
        <v>23.861501261663879</v>
      </c>
      <c r="CR59" s="1398">
        <f t="shared" si="164"/>
        <v>23.869968660772315</v>
      </c>
      <c r="CS59" s="1398">
        <f t="shared" si="164"/>
        <v>23.878439064588914</v>
      </c>
      <c r="CT59" s="1398">
        <f t="shared" si="164"/>
        <v>23.886912474179919</v>
      </c>
      <c r="CU59" s="1398">
        <f t="shared" si="164"/>
        <v>23.89538889061194</v>
      </c>
      <c r="CV59" s="1398">
        <f t="shared" si="164"/>
        <v>23.908434131387597</v>
      </c>
      <c r="CW59" s="1398">
        <f t="shared" si="164"/>
        <v>23.921486493968537</v>
      </c>
      <c r="CX59" s="1398">
        <f t="shared" si="164"/>
        <v>23.934545982242778</v>
      </c>
      <c r="CY59" s="1398">
        <f t="shared" si="164"/>
        <v>23.947612600100459</v>
      </c>
      <c r="CZ59" s="1398">
        <f t="shared" si="164"/>
        <v>23.960686351433843</v>
      </c>
    </row>
    <row r="60" spans="1:104" ht="13" x14ac:dyDescent="0.3">
      <c r="A60" s="873" t="str">
        <f>'HyARC Physical Property Data'!A71</f>
        <v>Commercial Natural Gas</v>
      </c>
      <c r="B60" s="260">
        <v>2011</v>
      </c>
      <c r="C60" s="874">
        <f t="shared" ref="C60:C68" si="165">VLOOKUP(ref_year,DeflatorTable,2,FALSE)/VLOOKUP(B60,DeflatorTable,2,FALSE)</f>
        <v>1.0784554773635862</v>
      </c>
      <c r="D60" s="1258" t="str">
        <f>'HyARC Physical Property Data'!H71</f>
        <v>mmBtu</v>
      </c>
      <c r="E60" s="874" t="s">
        <v>1058</v>
      </c>
      <c r="F60" s="260">
        <f>'HyARC Physical Property Data'!$E$6</f>
        <v>47.141269049911173</v>
      </c>
      <c r="G60" s="260">
        <f>'HyARC Physical Property Data'!$I$6</f>
        <v>52.224661236371581</v>
      </c>
      <c r="H60" s="1069">
        <v>11.78211597551449</v>
      </c>
      <c r="I60" s="1069">
        <v>11.78211597551449</v>
      </c>
      <c r="J60" s="1069">
        <v>11.78211597551449</v>
      </c>
      <c r="K60" s="1069">
        <v>10.884547954455588</v>
      </c>
      <c r="L60" s="1069">
        <v>11.412186165255939</v>
      </c>
      <c r="M60" s="1069">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9">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9">
        <f>'AEO Data'!$C$30*BB60</f>
        <v>18.227834176141503</v>
      </c>
      <c r="BR60" s="873">
        <f>($BV60-$BQ60)/5+BQ60</f>
        <v>18.332022095700271</v>
      </c>
      <c r="BS60" s="260">
        <f t="shared" si="163"/>
        <v>18.436210015259039</v>
      </c>
      <c r="BT60" s="260">
        <f t="shared" si="163"/>
        <v>18.540397934817808</v>
      </c>
      <c r="BU60" s="260">
        <f t="shared" si="163"/>
        <v>18.644585854376576</v>
      </c>
      <c r="BV60" s="963">
        <f>'AEO Data'!$D$30*BQ60</f>
        <v>18.748773773935348</v>
      </c>
      <c r="BW60" s="1398">
        <f>+BV60*BW$134/BV$134</f>
        <v>18.811025215761521</v>
      </c>
      <c r="BX60" s="1398">
        <f t="shared" ref="BX60:CZ60" si="168">+BW60*BX$134/BW$134</f>
        <v>18.873483350678995</v>
      </c>
      <c r="BY60" s="1398">
        <f t="shared" si="168"/>
        <v>18.93614886496961</v>
      </c>
      <c r="BZ60" s="1398">
        <f t="shared" si="168"/>
        <v>18.999022447193862</v>
      </c>
      <c r="CA60" s="1398">
        <f t="shared" si="168"/>
        <v>19.062104788198472</v>
      </c>
      <c r="CB60" s="1398">
        <f t="shared" si="168"/>
        <v>19.102781951935423</v>
      </c>
      <c r="CC60" s="1398">
        <f t="shared" si="168"/>
        <v>19.143545917820827</v>
      </c>
      <c r="CD60" s="1398">
        <f t="shared" si="168"/>
        <v>19.184396871084243</v>
      </c>
      <c r="CE60" s="1398">
        <f t="shared" si="168"/>
        <v>19.22533499735049</v>
      </c>
      <c r="CF60" s="1398">
        <f t="shared" si="168"/>
        <v>19.266360482640504</v>
      </c>
      <c r="CG60" s="1398">
        <f t="shared" si="168"/>
        <v>19.279681197473067</v>
      </c>
      <c r="CH60" s="1398">
        <f t="shared" si="168"/>
        <v>19.293011122215507</v>
      </c>
      <c r="CI60" s="1398">
        <f t="shared" si="168"/>
        <v>19.306350263235526</v>
      </c>
      <c r="CJ60" s="1398">
        <f t="shared" si="168"/>
        <v>19.319698626905243</v>
      </c>
      <c r="CK60" s="1398">
        <f t="shared" si="168"/>
        <v>19.333056219601172</v>
      </c>
      <c r="CL60" s="1398">
        <f t="shared" si="168"/>
        <v>19.337583850577364</v>
      </c>
      <c r="CM60" s="1398">
        <f t="shared" si="168"/>
        <v>19.342112541884731</v>
      </c>
      <c r="CN60" s="1398">
        <f t="shared" si="168"/>
        <v>19.346642293771598</v>
      </c>
      <c r="CO60" s="1398">
        <f t="shared" si="168"/>
        <v>19.351173106486343</v>
      </c>
      <c r="CP60" s="1398">
        <f t="shared" si="168"/>
        <v>19.355704980277398</v>
      </c>
      <c r="CQ60" s="1398">
        <f t="shared" si="168"/>
        <v>19.362573470122019</v>
      </c>
      <c r="CR60" s="1398">
        <f t="shared" si="168"/>
        <v>19.369444397292106</v>
      </c>
      <c r="CS60" s="1398">
        <f t="shared" si="168"/>
        <v>19.376317762652565</v>
      </c>
      <c r="CT60" s="1398">
        <f t="shared" si="168"/>
        <v>19.383193567068602</v>
      </c>
      <c r="CU60" s="1398">
        <f t="shared" si="168"/>
        <v>19.390071811405733</v>
      </c>
      <c r="CV60" s="1398">
        <f t="shared" si="168"/>
        <v>19.400657458561128</v>
      </c>
      <c r="CW60" s="1398">
        <f t="shared" si="168"/>
        <v>19.411248884752663</v>
      </c>
      <c r="CX60" s="1398">
        <f t="shared" si="168"/>
        <v>19.42184609313529</v>
      </c>
      <c r="CY60" s="1398">
        <f t="shared" si="168"/>
        <v>19.432449086865692</v>
      </c>
      <c r="CZ60" s="1398">
        <f t="shared" si="168"/>
        <v>19.443057869102269</v>
      </c>
    </row>
    <row r="61" spans="1:104" ht="13" x14ac:dyDescent="0.3">
      <c r="A61" s="873" t="str">
        <f>'HyARC Physical Property Data'!A72</f>
        <v>Industrial Natural Gas</v>
      </c>
      <c r="B61" s="260">
        <v>2011</v>
      </c>
      <c r="C61" s="874">
        <f t="shared" si="165"/>
        <v>1.0784554773635862</v>
      </c>
      <c r="D61" s="1258" t="str">
        <f>'HyARC Physical Property Data'!H72</f>
        <v>mmBtu</v>
      </c>
      <c r="E61" s="874" t="s">
        <v>1058</v>
      </c>
      <c r="F61" s="260">
        <f>'HyARC Physical Property Data'!$E$6</f>
        <v>47.141269049911173</v>
      </c>
      <c r="G61" s="260">
        <f>'HyARC Physical Property Data'!$I$6</f>
        <v>52.224661236371581</v>
      </c>
      <c r="H61" s="1069">
        <v>7.8800725307970341</v>
      </c>
      <c r="I61" s="1069">
        <v>7.8800725307970341</v>
      </c>
      <c r="J61" s="1069">
        <v>7.8800725307970341</v>
      </c>
      <c r="K61" s="1069">
        <v>7.4431315976064605</v>
      </c>
      <c r="L61" s="1069">
        <v>8.8750360136942668</v>
      </c>
      <c r="M61" s="1069">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9">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9">
        <f>'AEO Data'!$C$30*BB61</f>
        <v>12.19817897537731</v>
      </c>
      <c r="BR61" s="873">
        <f>($BV61-$BQ61)/5+BQ61</f>
        <v>12.26790217329369</v>
      </c>
      <c r="BS61" s="260">
        <f t="shared" si="163"/>
        <v>12.33762537121007</v>
      </c>
      <c r="BT61" s="260">
        <f t="shared" si="163"/>
        <v>12.40734856912645</v>
      </c>
      <c r="BU61" s="260">
        <f t="shared" si="163"/>
        <v>12.47707176704283</v>
      </c>
      <c r="BV61" s="963">
        <f>'AEO Data'!$D$30*BQ61</f>
        <v>12.546794964959213</v>
      </c>
      <c r="BW61" s="1398">
        <f>+BV61*BW$135/BV$135</f>
        <v>12.588454013507333</v>
      </c>
      <c r="BX61" s="1398">
        <f t="shared" ref="BX61:CZ61" si="171">+BW61*BX$135/BW$135</f>
        <v>12.630251382346072</v>
      </c>
      <c r="BY61" s="1398">
        <f t="shared" si="171"/>
        <v>12.672187530739475</v>
      </c>
      <c r="BZ61" s="1398">
        <f t="shared" si="171"/>
        <v>12.714262919476461</v>
      </c>
      <c r="CA61" s="1398">
        <f t="shared" si="171"/>
        <v>12.75647801087592</v>
      </c>
      <c r="CB61" s="1398">
        <f t="shared" si="171"/>
        <v>12.78369941955669</v>
      </c>
      <c r="CC61" s="1398">
        <f t="shared" si="171"/>
        <v>12.810978916770198</v>
      </c>
      <c r="CD61" s="1398">
        <f t="shared" si="171"/>
        <v>12.838316626473205</v>
      </c>
      <c r="CE61" s="1398">
        <f t="shared" si="171"/>
        <v>12.865712672886987</v>
      </c>
      <c r="CF61" s="1398">
        <f t="shared" si="171"/>
        <v>12.893167180497899</v>
      </c>
      <c r="CG61" s="1398">
        <f t="shared" si="171"/>
        <v>12.90208148496421</v>
      </c>
      <c r="CH61" s="1398">
        <f t="shared" si="171"/>
        <v>12.911001952758973</v>
      </c>
      <c r="CI61" s="1398">
        <f t="shared" si="171"/>
        <v>12.919928588143499</v>
      </c>
      <c r="CJ61" s="1398">
        <f t="shared" si="171"/>
        <v>12.928861395382043</v>
      </c>
      <c r="CK61" s="1398">
        <f t="shared" si="171"/>
        <v>12.937800378741811</v>
      </c>
      <c r="CL61" s="1398">
        <f t="shared" si="171"/>
        <v>12.940830297296499</v>
      </c>
      <c r="CM61" s="1398">
        <f t="shared" si="171"/>
        <v>12.943860925431345</v>
      </c>
      <c r="CN61" s="1398">
        <f t="shared" si="171"/>
        <v>12.946892263312527</v>
      </c>
      <c r="CO61" s="1398">
        <f t="shared" si="171"/>
        <v>12.949924311106264</v>
      </c>
      <c r="CP61" s="1398">
        <f t="shared" si="171"/>
        <v>12.952957068978808</v>
      </c>
      <c r="CQ61" s="1398">
        <f t="shared" si="171"/>
        <v>12.957553504715802</v>
      </c>
      <c r="CR61" s="1398">
        <f t="shared" si="171"/>
        <v>12.962151571526023</v>
      </c>
      <c r="CS61" s="1398">
        <f t="shared" si="171"/>
        <v>12.966751269988269</v>
      </c>
      <c r="CT61" s="1398">
        <f t="shared" si="171"/>
        <v>12.971352600681538</v>
      </c>
      <c r="CU61" s="1398">
        <f t="shared" si="171"/>
        <v>12.975955564185037</v>
      </c>
      <c r="CV61" s="1398">
        <f t="shared" si="171"/>
        <v>12.983039544504583</v>
      </c>
      <c r="CW61" s="1398">
        <f t="shared" si="171"/>
        <v>12.990127392190731</v>
      </c>
      <c r="CX61" s="1398">
        <f t="shared" si="171"/>
        <v>12.997219109354795</v>
      </c>
      <c r="CY61" s="1398">
        <f t="shared" si="171"/>
        <v>13.004314698109246</v>
      </c>
      <c r="CZ61" s="1398">
        <f t="shared" si="171"/>
        <v>13.011414160567707</v>
      </c>
    </row>
    <row r="62" spans="1:104" ht="13" x14ac:dyDescent="0.3">
      <c r="A62" s="873" t="str">
        <f>'HyARC Physical Property Data'!A74</f>
        <v>Electric Utility Natural Gas</v>
      </c>
      <c r="B62" s="260">
        <v>2011</v>
      </c>
      <c r="C62" s="874">
        <f t="shared" si="165"/>
        <v>1.0784554773635862</v>
      </c>
      <c r="D62" s="1258" t="str">
        <f>'HyARC Physical Property Data'!H74</f>
        <v>mmBtu</v>
      </c>
      <c r="E62" s="874" t="s">
        <v>1058</v>
      </c>
      <c r="F62" s="260">
        <f>'HyARC Physical Property Data'!$E$6</f>
        <v>47.141269049911173</v>
      </c>
      <c r="G62" s="260">
        <f>'HyARC Physical Property Data'!$I$6</f>
        <v>52.224661236371581</v>
      </c>
      <c r="H62" s="1069">
        <v>6.9870463159656619</v>
      </c>
      <c r="I62" s="1069">
        <v>6.9870463159656619</v>
      </c>
      <c r="J62" s="1069">
        <v>6.9870463159656619</v>
      </c>
      <c r="K62" s="1069">
        <v>6.9519071777354364</v>
      </c>
      <c r="L62" s="1069">
        <v>9.0904707383294223</v>
      </c>
      <c r="M62" s="1069">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9">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9">
        <f>'AEO Data'!$C$30*BB62</f>
        <v>11.301159689909367</v>
      </c>
      <c r="BR62" s="873">
        <f>($BV62-$BQ62)/5+BQ62</f>
        <v>11.365755642742549</v>
      </c>
      <c r="BS62" s="260">
        <f t="shared" si="163"/>
        <v>11.430351595575731</v>
      </c>
      <c r="BT62" s="260">
        <f t="shared" si="163"/>
        <v>11.494947548408913</v>
      </c>
      <c r="BU62" s="260">
        <f t="shared" si="163"/>
        <v>11.559543501242095</v>
      </c>
      <c r="BV62" s="963">
        <f>'AEO Data'!$D$30*BQ62</f>
        <v>11.624139454075273</v>
      </c>
      <c r="BW62" s="1398">
        <f>+BV62*BW$136/BV$136</f>
        <v>11.662735015029273</v>
      </c>
      <c r="BX62" s="1398">
        <f t="shared" ref="BX62:CZ63" si="174">+BW62*BX$136/BW$136</f>
        <v>11.701458724594294</v>
      </c>
      <c r="BY62" s="1398">
        <f t="shared" si="174"/>
        <v>11.740311008261404</v>
      </c>
      <c r="BZ62" s="1398">
        <f t="shared" si="174"/>
        <v>11.779292292934432</v>
      </c>
      <c r="CA62" s="1398">
        <f t="shared" si="174"/>
        <v>11.818403006934647</v>
      </c>
      <c r="CB62" s="1398">
        <f t="shared" si="174"/>
        <v>11.843622630872503</v>
      </c>
      <c r="CC62" s="1398">
        <f t="shared" si="174"/>
        <v>11.868896071678103</v>
      </c>
      <c r="CD62" s="1398">
        <f t="shared" si="174"/>
        <v>11.894223444192779</v>
      </c>
      <c r="CE62" s="1398">
        <f t="shared" si="174"/>
        <v>11.919604863502929</v>
      </c>
      <c r="CF62" s="1398">
        <f t="shared" si="174"/>
        <v>11.94504044494054</v>
      </c>
      <c r="CG62" s="1398">
        <f t="shared" si="174"/>
        <v>11.95329921688524</v>
      </c>
      <c r="CH62" s="1398">
        <f t="shared" si="174"/>
        <v>11.961563698924795</v>
      </c>
      <c r="CI62" s="1398">
        <f t="shared" si="174"/>
        <v>11.969833895007156</v>
      </c>
      <c r="CJ62" s="1398">
        <f t="shared" si="174"/>
        <v>11.978109809082998</v>
      </c>
      <c r="CK62" s="1398">
        <f t="shared" si="174"/>
        <v>11.986391445105726</v>
      </c>
      <c r="CL62" s="1398">
        <f t="shared" si="174"/>
        <v>11.98919855209301</v>
      </c>
      <c r="CM62" s="1398">
        <f t="shared" si="174"/>
        <v>11.992006316479953</v>
      </c>
      <c r="CN62" s="1398">
        <f t="shared" si="174"/>
        <v>11.994814738420512</v>
      </c>
      <c r="CO62" s="1398">
        <f t="shared" si="174"/>
        <v>11.99762381806868</v>
      </c>
      <c r="CP62" s="1398">
        <f t="shared" si="174"/>
        <v>12.000433555578486</v>
      </c>
      <c r="CQ62" s="1398">
        <f t="shared" si="174"/>
        <v>12.00469198254312</v>
      </c>
      <c r="CR62" s="1398">
        <f t="shared" si="174"/>
        <v>12.008951920636509</v>
      </c>
      <c r="CS62" s="1398">
        <f t="shared" si="174"/>
        <v>12.013213370394887</v>
      </c>
      <c r="CT62" s="1398">
        <f t="shared" si="174"/>
        <v>12.017476332354676</v>
      </c>
      <c r="CU62" s="1398">
        <f t="shared" si="174"/>
        <v>12.021740807052488</v>
      </c>
      <c r="CV62" s="1398">
        <f t="shared" si="174"/>
        <v>12.028303851667012</v>
      </c>
      <c r="CW62" s="1398">
        <f t="shared" si="174"/>
        <v>12.034870479253032</v>
      </c>
      <c r="CX62" s="1398">
        <f t="shared" si="174"/>
        <v>12.041440691766601</v>
      </c>
      <c r="CY62" s="1398">
        <f t="shared" si="174"/>
        <v>12.048014491164842</v>
      </c>
      <c r="CZ62" s="1398">
        <f t="shared" si="174"/>
        <v>12.054591879405951</v>
      </c>
    </row>
    <row r="63" spans="1:104" ht="13" x14ac:dyDescent="0.3">
      <c r="A63" s="873" t="str">
        <f>'HyARC Physical Property Data'!A75</f>
        <v>Bio Methane</v>
      </c>
      <c r="B63" s="260">
        <v>2007</v>
      </c>
      <c r="C63" s="874">
        <f t="shared" si="165"/>
        <v>1.1446359956438654</v>
      </c>
      <c r="D63" s="1261" t="str">
        <f>'HyARC Physical Property Data'!H75</f>
        <v>mmBtu</v>
      </c>
      <c r="E63" s="874" t="s">
        <v>1058</v>
      </c>
      <c r="F63" s="260">
        <f>'HyARC Physical Property Data'!$E$6</f>
        <v>47.141269049911173</v>
      </c>
      <c r="G63" s="260">
        <f>'HyARC Physical Property Data'!$I$6</f>
        <v>52.224661236371581</v>
      </c>
      <c r="H63" s="1069">
        <v>12.42654028436019</v>
      </c>
      <c r="I63" s="1069">
        <v>12.42654028436019</v>
      </c>
      <c r="J63" s="1069">
        <v>12.42654028436019</v>
      </c>
      <c r="K63" s="1069">
        <v>12.42654028436019</v>
      </c>
      <c r="L63" s="1069">
        <v>12.42654028436019</v>
      </c>
      <c r="M63" s="1069">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73">
        <f t="shared" si="176"/>
        <v>14.223865310797228</v>
      </c>
      <c r="BS63" s="260">
        <f t="shared" si="176"/>
        <v>14.223865310797228</v>
      </c>
      <c r="BT63" s="260">
        <f t="shared" si="176"/>
        <v>14.223865310797228</v>
      </c>
      <c r="BU63" s="260">
        <f t="shared" si="176"/>
        <v>14.223865310797228</v>
      </c>
      <c r="BV63" s="876">
        <f t="shared" si="176"/>
        <v>14.223865310797228</v>
      </c>
      <c r="BW63" s="1398">
        <f>+BV63*BW$136/BV$136</f>
        <v>14.271092726019944</v>
      </c>
      <c r="BX63" s="1398">
        <f t="shared" si="174"/>
        <v>14.318476950147966</v>
      </c>
      <c r="BY63" s="1398">
        <f t="shared" si="174"/>
        <v>14.366018503832969</v>
      </c>
      <c r="BZ63" s="1398">
        <f t="shared" si="174"/>
        <v>14.413717909455341</v>
      </c>
      <c r="CA63" s="1398">
        <f t="shared" si="174"/>
        <v>14.461575691129934</v>
      </c>
      <c r="CB63" s="1398">
        <f t="shared" si="174"/>
        <v>14.49243565590395</v>
      </c>
      <c r="CC63" s="1398">
        <f t="shared" si="174"/>
        <v>14.523361473628309</v>
      </c>
      <c r="CD63" s="1398">
        <f t="shared" si="174"/>
        <v>14.554353284828478</v>
      </c>
      <c r="CE63" s="1398">
        <f t="shared" si="174"/>
        <v>14.585411230329802</v>
      </c>
      <c r="CF63" s="1398">
        <f t="shared" si="174"/>
        <v>14.616535451258134</v>
      </c>
      <c r="CG63" s="1398">
        <f t="shared" si="174"/>
        <v>14.626641288360148</v>
      </c>
      <c r="CH63" s="1398">
        <f t="shared" si="174"/>
        <v>14.636754112613382</v>
      </c>
      <c r="CI63" s="1398">
        <f t="shared" si="174"/>
        <v>14.646873928848736</v>
      </c>
      <c r="CJ63" s="1398">
        <f t="shared" si="174"/>
        <v>14.657000741900452</v>
      </c>
      <c r="CK63" s="1398">
        <f t="shared" si="174"/>
        <v>14.667134556606111</v>
      </c>
      <c r="CL63" s="1398">
        <f t="shared" si="174"/>
        <v>14.670569469948116</v>
      </c>
      <c r="CM63" s="1398">
        <f t="shared" si="174"/>
        <v>14.674005187716483</v>
      </c>
      <c r="CN63" s="1398">
        <f t="shared" si="174"/>
        <v>14.6774417100996</v>
      </c>
      <c r="CO63" s="1398">
        <f t="shared" si="174"/>
        <v>14.6808790372859</v>
      </c>
      <c r="CP63" s="1398">
        <f t="shared" si="174"/>
        <v>14.684317169463862</v>
      </c>
      <c r="CQ63" s="1398">
        <f t="shared" si="174"/>
        <v>14.689527988881515</v>
      </c>
      <c r="CR63" s="1398">
        <f t="shared" si="174"/>
        <v>14.69474065739019</v>
      </c>
      <c r="CS63" s="1398">
        <f t="shared" si="174"/>
        <v>14.699955175646044</v>
      </c>
      <c r="CT63" s="1398">
        <f t="shared" si="174"/>
        <v>14.705171544305472</v>
      </c>
      <c r="CU63" s="1398">
        <f t="shared" si="174"/>
        <v>14.710389764025104</v>
      </c>
      <c r="CV63" s="1398">
        <f t="shared" si="174"/>
        <v>14.718420626266095</v>
      </c>
      <c r="CW63" s="1398">
        <f t="shared" si="174"/>
        <v>14.726455872806168</v>
      </c>
      <c r="CX63" s="1398">
        <f t="shared" si="174"/>
        <v>14.734495506038849</v>
      </c>
      <c r="CY63" s="1398">
        <f t="shared" si="174"/>
        <v>14.74253952835897</v>
      </c>
      <c r="CZ63" s="1398">
        <f t="shared" si="174"/>
        <v>14.750587942162673</v>
      </c>
    </row>
    <row r="64" spans="1:104" ht="13" x14ac:dyDescent="0.3">
      <c r="A64" s="964" t="str">
        <f>'HyARC Physical Property Data'!A85</f>
        <v>Woody Biomass</v>
      </c>
      <c r="B64" s="260">
        <v>2005</v>
      </c>
      <c r="C64" s="874">
        <f>VLOOKUP(ref_year,DeflatorTable,2,FALSE)/VLOOKUP(B64,DeflatorTable,2,FALSE)</f>
        <v>1.2112501494873942</v>
      </c>
      <c r="D64" s="1260" t="str">
        <f>+'HyARC Physical Property Data'!$H$85</f>
        <v>kg</v>
      </c>
      <c r="E64" s="901" t="s">
        <v>1052</v>
      </c>
      <c r="F64" s="260">
        <f>'HyARC Physical Property Data'!$E$45</f>
        <v>19.551069237418005</v>
      </c>
      <c r="G64" s="260">
        <f>'HyARC Physical Property Data'!$I$45</f>
        <v>20.588656379262464</v>
      </c>
      <c r="H64" s="1069">
        <v>1.3438238843289665</v>
      </c>
      <c r="I64" s="1069">
        <v>1.3438238843289665</v>
      </c>
      <c r="J64" s="1069">
        <v>1.3438238843289665</v>
      </c>
      <c r="K64" s="1069">
        <v>1.3438238843289665</v>
      </c>
      <c r="L64" s="1069">
        <v>1.3438238843289665</v>
      </c>
      <c r="M64" s="1069">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73">
        <f>4.71*($C$64)</f>
        <v>5.7049882040856268</v>
      </c>
      <c r="BS64" s="260">
        <f>4.78*($C$64)</f>
        <v>5.7897757145497444</v>
      </c>
      <c r="BT64" s="260">
        <f>4.85*($C$64)</f>
        <v>5.8745632250138611</v>
      </c>
      <c r="BU64" s="260">
        <f>4.92*($C$64)</f>
        <v>5.9593507354779796</v>
      </c>
      <c r="BV64" s="876">
        <f>4.99*($C$64)</f>
        <v>6.0441382459420971</v>
      </c>
      <c r="BW64" s="1398">
        <f>+BV64*BW$137/BV$137</f>
        <v>6.0586659764672328</v>
      </c>
      <c r="BX64" s="1398">
        <f t="shared" ref="BX64:CZ64" si="177">+BW64*BX$137/BW$137</f>
        <v>6.0732286259412112</v>
      </c>
      <c r="BY64" s="1398">
        <f t="shared" si="177"/>
        <v>6.0878262782954495</v>
      </c>
      <c r="BZ64" s="1398">
        <f t="shared" si="177"/>
        <v>6.1024590176630999</v>
      </c>
      <c r="CA64" s="1398">
        <f t="shared" si="177"/>
        <v>6.1171269283795393</v>
      </c>
      <c r="CB64" s="1398">
        <f t="shared" si="177"/>
        <v>6.1299667153690152</v>
      </c>
      <c r="CC64" s="1398">
        <f t="shared" si="177"/>
        <v>6.1428334529403346</v>
      </c>
      <c r="CD64" s="1398">
        <f t="shared" si="177"/>
        <v>6.155727197662495</v>
      </c>
      <c r="CE64" s="1398">
        <f t="shared" si="177"/>
        <v>6.1686480062232301</v>
      </c>
      <c r="CF64" s="1398">
        <f t="shared" si="177"/>
        <v>6.18159593542926</v>
      </c>
      <c r="CG64" s="1398">
        <f t="shared" si="177"/>
        <v>6.197524392005751</v>
      </c>
      <c r="CH64" s="1398">
        <f t="shared" si="177"/>
        <v>6.2134938923080965</v>
      </c>
      <c r="CI64" s="1398">
        <f t="shared" si="177"/>
        <v>6.229504542095909</v>
      </c>
      <c r="CJ64" s="1398">
        <f t="shared" si="177"/>
        <v>6.245556447401321</v>
      </c>
      <c r="CK64" s="1398">
        <f t="shared" si="177"/>
        <v>6.2616497145296828</v>
      </c>
      <c r="CL64" s="1398">
        <f t="shared" si="177"/>
        <v>6.2750522655841658</v>
      </c>
      <c r="CM64" s="1398">
        <f t="shared" si="177"/>
        <v>6.2884835037072264</v>
      </c>
      <c r="CN64" s="1398">
        <f t="shared" si="177"/>
        <v>6.3019434903011975</v>
      </c>
      <c r="CO64" s="1398">
        <f t="shared" si="177"/>
        <v>6.3154322868998385</v>
      </c>
      <c r="CP64" s="1398">
        <f t="shared" si="177"/>
        <v>6.3289499551686168</v>
      </c>
      <c r="CQ64" s="1398">
        <f t="shared" si="177"/>
        <v>6.3413225489579119</v>
      </c>
      <c r="CR64" s="1398">
        <f t="shared" si="177"/>
        <v>6.3537193301840116</v>
      </c>
      <c r="CS64" s="1398">
        <f t="shared" si="177"/>
        <v>6.3661403461314299</v>
      </c>
      <c r="CT64" s="1398">
        <f t="shared" si="177"/>
        <v>6.3785856441771198</v>
      </c>
      <c r="CU64" s="1398">
        <f t="shared" si="177"/>
        <v>6.3910552717906537</v>
      </c>
      <c r="CV64" s="1398">
        <f t="shared" si="177"/>
        <v>6.4057772391562917</v>
      </c>
      <c r="CW64" s="1398">
        <f t="shared" si="177"/>
        <v>6.4205331189689208</v>
      </c>
      <c r="CX64" s="1398">
        <f t="shared" si="177"/>
        <v>6.4353229893467718</v>
      </c>
      <c r="CY64" s="1398">
        <f t="shared" si="177"/>
        <v>6.4501469285880244</v>
      </c>
      <c r="CZ64" s="1398">
        <f t="shared" si="177"/>
        <v>6.4650050151712186</v>
      </c>
    </row>
    <row r="65" spans="1:104" ht="13" x14ac:dyDescent="0.3">
      <c r="A65" s="910" t="str">
        <f>'HyARC Physical Property Data'!A79</f>
        <v>Electric Utility Steam Coal</v>
      </c>
      <c r="B65" s="260">
        <v>2011</v>
      </c>
      <c r="C65" s="874">
        <f>VLOOKUP(ref_year,DeflatorTable,2,FALSE)/VLOOKUP(B65,DeflatorTable,2,FALSE)</f>
        <v>1.0784554773635862</v>
      </c>
      <c r="D65" s="1260" t="str">
        <f>+'HyARC Physical Property Data'!$H$79</f>
        <v>kg</v>
      </c>
      <c r="E65" s="901" t="s">
        <v>1052</v>
      </c>
      <c r="F65" s="260">
        <f>'HyARC Physical Property Data'!$E$42</f>
        <v>22.7322030001394</v>
      </c>
      <c r="G65" s="260">
        <f>'HyARC Physical Property Data'!$I$42</f>
        <v>23.967615189707661</v>
      </c>
      <c r="H65" s="1069">
        <v>1.6359074751967535</v>
      </c>
      <c r="I65" s="1069">
        <v>1.6359074751967535</v>
      </c>
      <c r="J65" s="1069">
        <v>1.6359074751967535</v>
      </c>
      <c r="K65" s="1069">
        <v>1.6778298347292193</v>
      </c>
      <c r="L65" s="1069">
        <v>1.8315470257945772</v>
      </c>
      <c r="M65" s="1069">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9">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9">
        <f>('AEO Data'!$C$28*BB65)</f>
        <v>3.8250538787983337</v>
      </c>
      <c r="BR65" s="873">
        <f t="shared" ref="BR65:BU68" si="181">($BV65-$BQ65)/5+BQ65</f>
        <v>3.8373166225762918</v>
      </c>
      <c r="BS65" s="260">
        <f t="shared" si="181"/>
        <v>3.8495793663542499</v>
      </c>
      <c r="BT65" s="260">
        <f t="shared" si="181"/>
        <v>3.861842110132208</v>
      </c>
      <c r="BU65" s="260">
        <f t="shared" si="181"/>
        <v>3.8741048539101661</v>
      </c>
      <c r="BV65" s="963">
        <f>('AEO Data'!$D$28*BQ65)</f>
        <v>3.8863675976881238</v>
      </c>
      <c r="BW65" s="1398">
        <f>+BV65*BW$138/BV$138</f>
        <v>3.8995072326040932</v>
      </c>
      <c r="BX65" s="1398">
        <f t="shared" ref="BX65:CZ65" si="182">+BW65*BX$138/BW$138</f>
        <v>3.9126912920376582</v>
      </c>
      <c r="BY65" s="1398">
        <f t="shared" si="182"/>
        <v>3.9259199261861233</v>
      </c>
      <c r="BZ65" s="1398">
        <f t="shared" si="182"/>
        <v>3.9391932857546061</v>
      </c>
      <c r="CA65" s="1398">
        <f t="shared" si="182"/>
        <v>3.9525115219577494</v>
      </c>
      <c r="CB65" s="1398">
        <f t="shared" si="182"/>
        <v>3.9638281829885078</v>
      </c>
      <c r="CC65" s="1398">
        <f t="shared" si="182"/>
        <v>3.9751772453965106</v>
      </c>
      <c r="CD65" s="1398">
        <f t="shared" si="182"/>
        <v>3.9865588019519875</v>
      </c>
      <c r="CE65" s="1398">
        <f t="shared" si="182"/>
        <v>3.9979729456907847</v>
      </c>
      <c r="CF65" s="1398">
        <f t="shared" si="182"/>
        <v>4.0094197699151231</v>
      </c>
      <c r="CG65" s="1398">
        <f t="shared" si="182"/>
        <v>4.0181594321320722</v>
      </c>
      <c r="CH65" s="1398">
        <f t="shared" si="182"/>
        <v>4.0269181449099625</v>
      </c>
      <c r="CI65" s="1398">
        <f t="shared" si="182"/>
        <v>4.0356959497748699</v>
      </c>
      <c r="CJ65" s="1398">
        <f t="shared" si="182"/>
        <v>4.0444928883433882</v>
      </c>
      <c r="CK65" s="1398">
        <f t="shared" si="182"/>
        <v>4.0533090023228242</v>
      </c>
      <c r="CL65" s="1398">
        <f t="shared" si="182"/>
        <v>4.0592855925032651</v>
      </c>
      <c r="CM65" s="1398">
        <f t="shared" si="182"/>
        <v>4.0652709951453678</v>
      </c>
      <c r="CN65" s="1398">
        <f t="shared" si="182"/>
        <v>4.0712652232430759</v>
      </c>
      <c r="CO65" s="1398">
        <f t="shared" si="182"/>
        <v>4.0772682898094939</v>
      </c>
      <c r="CP65" s="1398">
        <f t="shared" si="182"/>
        <v>4.0832802078769133</v>
      </c>
      <c r="CQ65" s="1398">
        <f t="shared" si="182"/>
        <v>4.0852935052227286</v>
      </c>
      <c r="CR65" s="1398">
        <f t="shared" si="182"/>
        <v>4.0873077952425705</v>
      </c>
      <c r="CS65" s="1398">
        <f t="shared" si="182"/>
        <v>4.0893230784258847</v>
      </c>
      <c r="CT65" s="1398">
        <f t="shared" si="182"/>
        <v>4.0913393552623587</v>
      </c>
      <c r="CU65" s="1398">
        <f t="shared" si="182"/>
        <v>4.0933566262419232</v>
      </c>
      <c r="CV65" s="1398">
        <f t="shared" si="182"/>
        <v>4.0904573728021916</v>
      </c>
      <c r="CW65" s="1398">
        <f t="shared" si="182"/>
        <v>4.0875601728533422</v>
      </c>
      <c r="CX65" s="1398">
        <f t="shared" si="182"/>
        <v>4.0846650249409233</v>
      </c>
      <c r="CY65" s="1398">
        <f t="shared" si="182"/>
        <v>4.081771927611511</v>
      </c>
      <c r="CZ65" s="1398">
        <f t="shared" si="182"/>
        <v>4.0788808794127149</v>
      </c>
    </row>
    <row r="66" spans="1:104" ht="13" x14ac:dyDescent="0.3">
      <c r="A66" s="877" t="str">
        <f>'HyARC Physical Property Data'!A76</f>
        <v>Commercial Electricity</v>
      </c>
      <c r="B66" s="260">
        <v>2011</v>
      </c>
      <c r="C66" s="874">
        <f t="shared" si="165"/>
        <v>1.0784554773635862</v>
      </c>
      <c r="D66" s="1260" t="str">
        <f>'HyARC Physical Property Data'!$H$76</f>
        <v>kWh</v>
      </c>
      <c r="E66" s="874" t="s">
        <v>1071</v>
      </c>
      <c r="F66" s="878"/>
      <c r="G66" s="874"/>
      <c r="H66" s="1069">
        <v>26.764062885406638</v>
      </c>
      <c r="I66" s="1069">
        <v>26.764062885406638</v>
      </c>
      <c r="J66" s="1069">
        <v>26.764062885406638</v>
      </c>
      <c r="K66" s="1069">
        <v>26.478521097803213</v>
      </c>
      <c r="L66" s="1069">
        <v>27.879470162766175</v>
      </c>
      <c r="M66" s="1069">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9">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9">
        <f>'AEO Data'!$C$33*BB66</f>
        <v>33.192415256010214</v>
      </c>
      <c r="BR66" s="873">
        <f t="shared" si="181"/>
        <v>33.170065135939467</v>
      </c>
      <c r="BS66" s="260">
        <f t="shared" si="181"/>
        <v>33.147715015868719</v>
      </c>
      <c r="BT66" s="260">
        <f t="shared" si="181"/>
        <v>33.125364895797972</v>
      </c>
      <c r="BU66" s="260">
        <f t="shared" si="181"/>
        <v>33.103014775727225</v>
      </c>
      <c r="BV66" s="963">
        <f>'AEO Data'!$D$33*BQ66</f>
        <v>33.080664655656477</v>
      </c>
      <c r="BW66" s="1398">
        <f>+BV66*BW$139/BV$139</f>
        <v>33.066099114275488</v>
      </c>
      <c r="BX66" s="1398">
        <f t="shared" ref="BX66:CZ66" si="185">+BW66*BX$139/BW$139</f>
        <v>33.051539986157294</v>
      </c>
      <c r="BY66" s="1398">
        <f t="shared" si="185"/>
        <v>33.0369872684781</v>
      </c>
      <c r="BZ66" s="1398">
        <f t="shared" si="185"/>
        <v>33.022440958415373</v>
      </c>
      <c r="CA66" s="1398">
        <f t="shared" si="185"/>
        <v>33.007901053147819</v>
      </c>
      <c r="CB66" s="1398">
        <f t="shared" si="185"/>
        <v>32.98146223987488</v>
      </c>
      <c r="CC66" s="1398">
        <f t="shared" si="185"/>
        <v>32.955044603678495</v>
      </c>
      <c r="CD66" s="1398">
        <f t="shared" si="185"/>
        <v>32.928648127596141</v>
      </c>
      <c r="CE66" s="1398">
        <f t="shared" si="185"/>
        <v>32.902272794678915</v>
      </c>
      <c r="CF66" s="1398">
        <f t="shared" si="185"/>
        <v>32.875918587991457</v>
      </c>
      <c r="CG66" s="1398">
        <f t="shared" si="185"/>
        <v>32.839614191376278</v>
      </c>
      <c r="CH66" s="1398">
        <f t="shared" si="185"/>
        <v>32.803349885175919</v>
      </c>
      <c r="CI66" s="1398">
        <f t="shared" si="185"/>
        <v>32.767125625119114</v>
      </c>
      <c r="CJ66" s="1398">
        <f t="shared" si="185"/>
        <v>32.730941366983494</v>
      </c>
      <c r="CK66" s="1398">
        <f t="shared" si="185"/>
        <v>32.69479706659552</v>
      </c>
      <c r="CL66" s="1398">
        <f t="shared" si="185"/>
        <v>32.65539094584242</v>
      </c>
      <c r="CM66" s="1398">
        <f t="shared" si="185"/>
        <v>32.616032320180047</v>
      </c>
      <c r="CN66" s="1398">
        <f t="shared" si="185"/>
        <v>32.576721132363886</v>
      </c>
      <c r="CO66" s="1398">
        <f t="shared" si="185"/>
        <v>32.537457325218448</v>
      </c>
      <c r="CP66" s="1398">
        <f t="shared" si="185"/>
        <v>32.498240841637141</v>
      </c>
      <c r="CQ66" s="1398">
        <f t="shared" si="185"/>
        <v>32.452817913303896</v>
      </c>
      <c r="CR66" s="1398">
        <f t="shared" si="185"/>
        <v>32.407458472789216</v>
      </c>
      <c r="CS66" s="1398">
        <f t="shared" si="185"/>
        <v>32.362162431355912</v>
      </c>
      <c r="CT66" s="1398">
        <f t="shared" si="185"/>
        <v>32.31692970039083</v>
      </c>
      <c r="CU66" s="1398">
        <f t="shared" si="185"/>
        <v>32.271760191404653</v>
      </c>
      <c r="CV66" s="1398">
        <f t="shared" si="185"/>
        <v>32.22766670904133</v>
      </c>
      <c r="CW66" s="1398">
        <f t="shared" si="185"/>
        <v>32.183633472390525</v>
      </c>
      <c r="CX66" s="1398">
        <f t="shared" si="185"/>
        <v>32.139660399137448</v>
      </c>
      <c r="CY66" s="1398">
        <f t="shared" si="185"/>
        <v>32.09574740707977</v>
      </c>
      <c r="CZ66" s="1398">
        <f t="shared" si="185"/>
        <v>32.051894414127482</v>
      </c>
    </row>
    <row r="67" spans="1:104" ht="13" x14ac:dyDescent="0.3">
      <c r="A67" s="877" t="str">
        <f>'HyARC Physical Property Data'!A77</f>
        <v>Industrial Electricity</v>
      </c>
      <c r="B67" s="260">
        <v>2011</v>
      </c>
      <c r="C67" s="874">
        <f t="shared" si="165"/>
        <v>1.0784554773635862</v>
      </c>
      <c r="D67" s="1248" t="str">
        <f>'HyARC Physical Property Data'!$H$77</f>
        <v>kWh</v>
      </c>
      <c r="E67" s="874" t="s">
        <v>1071</v>
      </c>
      <c r="F67" s="885"/>
      <c r="G67" s="222"/>
      <c r="H67" s="1072">
        <v>17.365230901091444</v>
      </c>
      <c r="I67" s="1072">
        <v>17.365230901091444</v>
      </c>
      <c r="J67" s="1072">
        <v>17.365230901091444</v>
      </c>
      <c r="K67" s="1072">
        <v>17.575551809904887</v>
      </c>
      <c r="L67" s="1072">
        <v>19.530121721487372</v>
      </c>
      <c r="M67" s="1072">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9">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9">
        <f>'AEO Data'!$C$33*BB67</f>
        <v>23.45233216522044</v>
      </c>
      <c r="BR67" s="873">
        <f t="shared" si="181"/>
        <v>23.436540532228719</v>
      </c>
      <c r="BS67" s="260">
        <f t="shared" si="181"/>
        <v>23.420748899236997</v>
      </c>
      <c r="BT67" s="260">
        <f t="shared" si="181"/>
        <v>23.404957266245276</v>
      </c>
      <c r="BU67" s="260">
        <f t="shared" si="181"/>
        <v>23.389165633253555</v>
      </c>
      <c r="BV67" s="963">
        <f>'AEO Data'!$D$33*BQ67</f>
        <v>23.373374000261833</v>
      </c>
      <c r="BW67" s="1398">
        <f>+BV67*BW$140/BV$140</f>
        <v>23.380436490829396</v>
      </c>
      <c r="BX67" s="1398">
        <f t="shared" ref="BX67:CZ67" si="188">+BW67*BX$140/BW$140</f>
        <v>23.387501115396649</v>
      </c>
      <c r="BY67" s="1398">
        <f t="shared" si="188"/>
        <v>23.394567874608409</v>
      </c>
      <c r="BZ67" s="1398">
        <f t="shared" si="188"/>
        <v>23.401636769109679</v>
      </c>
      <c r="CA67" s="1398">
        <f t="shared" si="188"/>
        <v>23.408707799545656</v>
      </c>
      <c r="CB67" s="1398">
        <f t="shared" si="188"/>
        <v>23.406060454578945</v>
      </c>
      <c r="CC67" s="1398">
        <f t="shared" si="188"/>
        <v>23.403413409006607</v>
      </c>
      <c r="CD67" s="1398">
        <f t="shared" si="188"/>
        <v>23.40076666279478</v>
      </c>
      <c r="CE67" s="1398">
        <f t="shared" si="188"/>
        <v>23.398120215909611</v>
      </c>
      <c r="CF67" s="1398">
        <f t="shared" si="188"/>
        <v>23.395474068317245</v>
      </c>
      <c r="CG67" s="1398">
        <f t="shared" si="188"/>
        <v>23.384861674186023</v>
      </c>
      <c r="CH67" s="1398">
        <f t="shared" si="188"/>
        <v>23.374254093930716</v>
      </c>
      <c r="CI67" s="1398">
        <f t="shared" si="188"/>
        <v>23.363651325367709</v>
      </c>
      <c r="CJ67" s="1398">
        <f t="shared" si="188"/>
        <v>23.353053366314384</v>
      </c>
      <c r="CK67" s="1398">
        <f t="shared" si="188"/>
        <v>23.342460214589092</v>
      </c>
      <c r="CL67" s="1398">
        <f t="shared" si="188"/>
        <v>23.329464593323419</v>
      </c>
      <c r="CM67" s="1398">
        <f t="shared" si="188"/>
        <v>23.316476207206502</v>
      </c>
      <c r="CN67" s="1398">
        <f t="shared" si="188"/>
        <v>23.303495052210266</v>
      </c>
      <c r="CO67" s="1398">
        <f t="shared" si="188"/>
        <v>23.290521124308881</v>
      </c>
      <c r="CP67" s="1398">
        <f t="shared" si="188"/>
        <v>23.277554419478744</v>
      </c>
      <c r="CQ67" s="1398">
        <f t="shared" si="188"/>
        <v>23.259789388655847</v>
      </c>
      <c r="CR67" s="1398">
        <f t="shared" si="188"/>
        <v>23.242037915800186</v>
      </c>
      <c r="CS67" s="1398">
        <f t="shared" si="188"/>
        <v>23.224299990564553</v>
      </c>
      <c r="CT67" s="1398">
        <f t="shared" si="188"/>
        <v>23.206575602609636</v>
      </c>
      <c r="CU67" s="1398">
        <f t="shared" si="188"/>
        <v>23.188864741604011</v>
      </c>
      <c r="CV67" s="1398">
        <f t="shared" si="188"/>
        <v>23.17221317404951</v>
      </c>
      <c r="CW67" s="1398">
        <f t="shared" si="188"/>
        <v>23.155573563729877</v>
      </c>
      <c r="CX67" s="1398">
        <f t="shared" si="188"/>
        <v>23.138945902058804</v>
      </c>
      <c r="CY67" s="1398">
        <f t="shared" si="188"/>
        <v>23.122330180456149</v>
      </c>
      <c r="CZ67" s="1398">
        <f t="shared" si="188"/>
        <v>23.105726390347936</v>
      </c>
    </row>
    <row r="68" spans="1:104" ht="13.5" thickBot="1" x14ac:dyDescent="0.35">
      <c r="A68" s="879" t="str">
        <f>'HyARC Physical Property Data'!A78</f>
        <v>Residential Electricity</v>
      </c>
      <c r="B68" s="880">
        <v>2011</v>
      </c>
      <c r="C68" s="881">
        <f t="shared" si="165"/>
        <v>1.0784554773635862</v>
      </c>
      <c r="D68" s="1249" t="str">
        <f>'HyARC Physical Property Data'!$H$78</f>
        <v>kWh</v>
      </c>
      <c r="E68" s="881" t="s">
        <v>1071</v>
      </c>
      <c r="F68" s="886"/>
      <c r="G68" s="569"/>
      <c r="H68" s="1073">
        <v>29.433773538887177</v>
      </c>
      <c r="I68" s="1073">
        <v>29.433773538887177</v>
      </c>
      <c r="J68" s="1073">
        <v>29.433773538887177</v>
      </c>
      <c r="K68" s="1073">
        <v>29.415861064534436</v>
      </c>
      <c r="L68" s="1073">
        <v>30.500905105766051</v>
      </c>
      <c r="M68" s="1073">
        <v>30.574559070308627</v>
      </c>
      <c r="N68" s="569">
        <f t="shared" si="186"/>
        <v>37.231327558403592</v>
      </c>
      <c r="O68" s="569">
        <f t="shared" si="183"/>
        <v>37.029713542276902</v>
      </c>
      <c r="P68" s="569">
        <f t="shared" si="183"/>
        <v>35.904219072357151</v>
      </c>
      <c r="Q68" s="569">
        <f t="shared" si="183"/>
        <v>35.115964100941852</v>
      </c>
      <c r="R68" s="569">
        <f t="shared" si="183"/>
        <v>35.969434353528804</v>
      </c>
      <c r="S68" s="569">
        <f t="shared" si="183"/>
        <v>36.116413815172251</v>
      </c>
      <c r="T68" s="569">
        <f t="shared" si="183"/>
        <v>36.717853336521245</v>
      </c>
      <c r="U68" s="569">
        <f t="shared" si="183"/>
        <v>37.019523216471292</v>
      </c>
      <c r="V68" s="569">
        <f t="shared" si="183"/>
        <v>36.994572070547008</v>
      </c>
      <c r="W68" s="569">
        <f t="shared" si="183"/>
        <v>36.749885621109897</v>
      </c>
      <c r="X68" s="569">
        <f t="shared" si="183"/>
        <v>36.78085131323143</v>
      </c>
      <c r="Y68" s="569">
        <f t="shared" si="183"/>
        <v>36.866643524911183</v>
      </c>
      <c r="Z68" s="569">
        <f t="shared" si="183"/>
        <v>36.980382831831335</v>
      </c>
      <c r="AA68" s="569">
        <f t="shared" si="183"/>
        <v>37.011953537475684</v>
      </c>
      <c r="AB68" s="569">
        <f t="shared" si="183"/>
        <v>37.116621955375727</v>
      </c>
      <c r="AC68" s="569">
        <f t="shared" si="183"/>
        <v>37.450882759851702</v>
      </c>
      <c r="AD68" s="569">
        <f t="shared" si="183"/>
        <v>37.642585770141416</v>
      </c>
      <c r="AE68" s="569">
        <f t="shared" si="183"/>
        <v>37.813937247117813</v>
      </c>
      <c r="AF68" s="569">
        <f t="shared" si="183"/>
        <v>37.937612364350912</v>
      </c>
      <c r="AG68" s="569">
        <f t="shared" si="183"/>
        <v>38.109761898380555</v>
      </c>
      <c r="AH68" s="569">
        <f t="shared" si="183"/>
        <v>38.292401568838507</v>
      </c>
      <c r="AI68" s="569">
        <f t="shared" si="183"/>
        <v>38.52845390372385</v>
      </c>
      <c r="AJ68" s="569">
        <f t="shared" si="183"/>
        <v>38.699570277406174</v>
      </c>
      <c r="AK68" s="569">
        <f t="shared" si="183"/>
        <v>38.991412192591014</v>
      </c>
      <c r="AL68" s="569">
        <f t="shared" si="183"/>
        <v>39.480914506122524</v>
      </c>
      <c r="AM68" s="569">
        <f t="shared" si="183"/>
        <v>39.991294639240323</v>
      </c>
      <c r="AN68" s="569">
        <f t="shared" si="183"/>
        <v>40.444338686904082</v>
      </c>
      <c r="AO68" s="569">
        <f t="shared" si="183"/>
        <v>40.811228161847694</v>
      </c>
      <c r="AP68" s="569">
        <f t="shared" si="183"/>
        <v>41.155489483965269</v>
      </c>
      <c r="AQ68" s="569">
        <f t="shared" si="183"/>
        <v>41.648278929791786</v>
      </c>
      <c r="AR68" s="569">
        <f t="shared" si="183"/>
        <v>41.89880413718334</v>
      </c>
      <c r="AS68" s="880">
        <f t="shared" ref="AS68:BA68" si="189">($BB68-$AR68)/10+AR68</f>
        <v>41.608361021177913</v>
      </c>
      <c r="AT68" s="880">
        <f t="shared" si="189"/>
        <v>41.317917905172486</v>
      </c>
      <c r="AU68" s="880">
        <f t="shared" si="189"/>
        <v>41.027474789167059</v>
      </c>
      <c r="AV68" s="880">
        <f t="shared" si="189"/>
        <v>40.737031673161631</v>
      </c>
      <c r="AW68" s="880">
        <f t="shared" si="189"/>
        <v>40.446588557156204</v>
      </c>
      <c r="AX68" s="880">
        <f t="shared" si="189"/>
        <v>40.156145441150777</v>
      </c>
      <c r="AY68" s="880">
        <f t="shared" si="189"/>
        <v>39.86570232514535</v>
      </c>
      <c r="AZ68" s="880">
        <f t="shared" si="189"/>
        <v>39.575259209139922</v>
      </c>
      <c r="BA68" s="880">
        <f t="shared" si="189"/>
        <v>39.284816093134495</v>
      </c>
      <c r="BB68" s="968">
        <f>'AEO Data'!$B$33*AM68</f>
        <v>38.994372977129068</v>
      </c>
      <c r="BC68" s="880">
        <f>($BQ68-$BB68)/15+BB68</f>
        <v>39.017092027346592</v>
      </c>
      <c r="BD68" s="880">
        <f t="shared" si="180"/>
        <v>39.039811077564117</v>
      </c>
      <c r="BE68" s="880">
        <f t="shared" si="180"/>
        <v>39.062530127781642</v>
      </c>
      <c r="BF68" s="880">
        <f t="shared" si="180"/>
        <v>39.085249177999167</v>
      </c>
      <c r="BG68" s="880">
        <f t="shared" si="180"/>
        <v>39.107968228216691</v>
      </c>
      <c r="BH68" s="880">
        <f t="shared" si="180"/>
        <v>39.130687278434216</v>
      </c>
      <c r="BI68" s="880">
        <f t="shared" si="180"/>
        <v>39.153406328651741</v>
      </c>
      <c r="BJ68" s="880">
        <f t="shared" si="180"/>
        <v>39.176125378869266</v>
      </c>
      <c r="BK68" s="880">
        <f t="shared" si="180"/>
        <v>39.19884442908679</v>
      </c>
      <c r="BL68" s="880">
        <f t="shared" si="180"/>
        <v>39.221563479304315</v>
      </c>
      <c r="BM68" s="880">
        <f t="shared" si="180"/>
        <v>39.24428252952184</v>
      </c>
      <c r="BN68" s="880">
        <f t="shared" si="180"/>
        <v>39.267001579739365</v>
      </c>
      <c r="BO68" s="880">
        <f t="shared" si="180"/>
        <v>39.289720629956889</v>
      </c>
      <c r="BP68" s="880">
        <f t="shared" si="180"/>
        <v>39.312439680174414</v>
      </c>
      <c r="BQ68" s="968">
        <f>'AEO Data'!$C$33*BB68</f>
        <v>39.335158730391903</v>
      </c>
      <c r="BR68" s="976">
        <f t="shared" si="181"/>
        <v>39.30867239265946</v>
      </c>
      <c r="BS68" s="880">
        <f t="shared" si="181"/>
        <v>39.282186054927017</v>
      </c>
      <c r="BT68" s="880">
        <f t="shared" si="181"/>
        <v>39.255699717194574</v>
      </c>
      <c r="BU68" s="880">
        <f t="shared" si="181"/>
        <v>39.229213379462131</v>
      </c>
      <c r="BV68" s="969">
        <f>'AEO Data'!$D$33*BQ68</f>
        <v>39.202727041729688</v>
      </c>
      <c r="BW68" s="1398">
        <f>+BV68*BW$141/BV$141</f>
        <v>39.185465933196419</v>
      </c>
      <c r="BX68" s="1398">
        <f t="shared" ref="BX68:CZ68" si="190">+BW68*BX$141/BW$141</f>
        <v>39.168212424794326</v>
      </c>
      <c r="BY68" s="1398">
        <f t="shared" si="190"/>
        <v>39.150966513177039</v>
      </c>
      <c r="BZ68" s="1398">
        <f t="shared" si="190"/>
        <v>39.133728194999662</v>
      </c>
      <c r="CA68" s="1398">
        <f t="shared" si="190"/>
        <v>39.11649746691878</v>
      </c>
      <c r="CB68" s="1398">
        <f t="shared" si="190"/>
        <v>39.085165763313817</v>
      </c>
      <c r="CC68" s="1398">
        <f t="shared" si="190"/>
        <v>39.053859155914154</v>
      </c>
      <c r="CD68" s="1398">
        <f t="shared" si="190"/>
        <v>39.022577624618116</v>
      </c>
      <c r="CE68" s="1398">
        <f t="shared" si="190"/>
        <v>38.991321149340131</v>
      </c>
      <c r="CF68" s="1398">
        <f t="shared" si="190"/>
        <v>38.960089710010728</v>
      </c>
      <c r="CG68" s="1398">
        <f t="shared" si="190"/>
        <v>38.917066652108652</v>
      </c>
      <c r="CH68" s="1398">
        <f t="shared" si="190"/>
        <v>38.874091103940906</v>
      </c>
      <c r="CI68" s="1398">
        <f t="shared" si="190"/>
        <v>38.831163013043174</v>
      </c>
      <c r="CJ68" s="1398">
        <f t="shared" si="190"/>
        <v>38.788282327009078</v>
      </c>
      <c r="CK68" s="1398">
        <f t="shared" si="190"/>
        <v>38.745448993490129</v>
      </c>
      <c r="CL68" s="1398">
        <f t="shared" si="190"/>
        <v>38.698750191886909</v>
      </c>
      <c r="CM68" s="1398">
        <f t="shared" si="190"/>
        <v>38.652107675037847</v>
      </c>
      <c r="CN68" s="1398">
        <f t="shared" si="190"/>
        <v>38.605521375104502</v>
      </c>
      <c r="CO68" s="1398">
        <f t="shared" si="190"/>
        <v>38.558991224330207</v>
      </c>
      <c r="CP68" s="1398">
        <f t="shared" si="190"/>
        <v>38.512517155039959</v>
      </c>
      <c r="CQ68" s="1398">
        <f t="shared" si="190"/>
        <v>38.45868804732946</v>
      </c>
      <c r="CR68" s="1398">
        <f t="shared" si="190"/>
        <v>38.404934176789915</v>
      </c>
      <c r="CS68" s="1398">
        <f t="shared" si="190"/>
        <v>38.351255438262001</v>
      </c>
      <c r="CT68" s="1398">
        <f t="shared" si="190"/>
        <v>38.297651726733392</v>
      </c>
      <c r="CU68" s="1398">
        <f t="shared" si="190"/>
        <v>38.244122937338538</v>
      </c>
      <c r="CV68" s="1398">
        <f t="shared" si="190"/>
        <v>38.191869309081618</v>
      </c>
      <c r="CW68" s="1398">
        <f t="shared" si="190"/>
        <v>38.139687075890301</v>
      </c>
      <c r="CX68" s="1398">
        <f t="shared" si="190"/>
        <v>38.087576140216228</v>
      </c>
      <c r="CY68" s="1398">
        <f t="shared" si="190"/>
        <v>38.03553640464434</v>
      </c>
      <c r="CZ68" s="1398">
        <f t="shared" si="190"/>
        <v>37.983567771892652</v>
      </c>
    </row>
    <row r="69" spans="1:104" ht="13" thickTop="1" x14ac:dyDescent="0.25">
      <c r="D69" s="1096"/>
    </row>
    <row r="70" spans="1:104" ht="13" thickBot="1" x14ac:dyDescent="0.3">
      <c r="D70" s="1096"/>
      <c r="E70" s="975"/>
    </row>
    <row r="71" spans="1:104" s="1053" customFormat="1" ht="13" x14ac:dyDescent="0.3">
      <c r="A71" s="1049" t="s">
        <v>1112</v>
      </c>
      <c r="B71" s="1050"/>
      <c r="C71" s="1051"/>
      <c r="D71" s="1252"/>
      <c r="E71" s="1051"/>
      <c r="F71" s="1050"/>
      <c r="G71" s="1050"/>
      <c r="H71" s="1050"/>
      <c r="I71" s="1050"/>
      <c r="J71" s="1050"/>
      <c r="K71" s="1050"/>
      <c r="L71" s="1050"/>
      <c r="M71" s="1050"/>
      <c r="N71" s="1050"/>
      <c r="O71" s="1050"/>
      <c r="P71" s="1050"/>
      <c r="Q71" s="1050"/>
      <c r="R71" s="1050"/>
      <c r="S71" s="1050"/>
      <c r="T71" s="1050"/>
      <c r="U71" s="1050"/>
      <c r="V71" s="1050"/>
      <c r="W71" s="1050"/>
      <c r="X71" s="1050"/>
      <c r="Y71" s="1050"/>
      <c r="Z71" s="1050"/>
      <c r="AA71" s="1050"/>
      <c r="AB71" s="1050"/>
      <c r="AC71" s="1050"/>
      <c r="AD71" s="1050"/>
      <c r="AE71" s="1050"/>
      <c r="AF71" s="1050"/>
      <c r="AG71" s="1050"/>
      <c r="AH71" s="1050"/>
      <c r="AI71" s="1050"/>
      <c r="AJ71" s="1050"/>
      <c r="AK71" s="1050"/>
      <c r="AL71" s="1050"/>
      <c r="AM71" s="1050"/>
      <c r="AN71" s="1050"/>
      <c r="AO71" s="1050"/>
      <c r="AP71" s="1050"/>
      <c r="AQ71" s="1050"/>
      <c r="AR71" s="1050"/>
      <c r="AS71" s="1050"/>
      <c r="AT71" s="1050"/>
      <c r="AU71" s="1050"/>
      <c r="AV71" s="1050"/>
      <c r="AW71" s="1050"/>
      <c r="AX71" s="1050"/>
      <c r="AY71" s="1050"/>
      <c r="AZ71" s="1050"/>
      <c r="BA71" s="1050"/>
      <c r="BB71" s="1050"/>
      <c r="BC71" s="1050"/>
      <c r="BD71" s="1050"/>
      <c r="BE71" s="1050"/>
      <c r="BF71" s="1050"/>
      <c r="BG71" s="1050"/>
      <c r="BH71" s="1050"/>
      <c r="BI71" s="1050"/>
      <c r="BJ71" s="1050"/>
      <c r="BK71" s="1050"/>
      <c r="BL71" s="1050"/>
      <c r="BM71" s="1050"/>
      <c r="BN71" s="1050"/>
      <c r="BO71" s="1050"/>
      <c r="BP71" s="1050"/>
      <c r="BQ71" s="1050"/>
      <c r="BR71" s="1050"/>
      <c r="BS71" s="1050"/>
      <c r="BT71" s="1050"/>
      <c r="BU71" s="1050"/>
      <c r="BV71" s="1052"/>
    </row>
    <row r="72" spans="1:104" s="1053" customFormat="1" ht="13" x14ac:dyDescent="0.3">
      <c r="A72" s="1054" t="s">
        <v>1109</v>
      </c>
      <c r="B72" s="1055"/>
      <c r="C72" s="1056"/>
      <c r="D72" s="1253"/>
      <c r="E72" s="1056"/>
      <c r="F72" s="1055"/>
      <c r="G72" s="1055"/>
      <c r="H72" s="1055"/>
      <c r="I72" s="1055"/>
      <c r="J72" s="1055"/>
      <c r="K72" s="1055"/>
      <c r="L72" s="1055"/>
      <c r="M72" s="1055"/>
      <c r="N72" s="1055"/>
      <c r="O72" s="1055"/>
      <c r="P72" s="1055"/>
      <c r="Q72" s="1055"/>
      <c r="R72" s="1055"/>
      <c r="S72" s="1055"/>
      <c r="T72" s="1055"/>
      <c r="U72" s="1055"/>
      <c r="V72" s="1055"/>
      <c r="W72" s="1055"/>
      <c r="X72" s="1055"/>
      <c r="Y72" s="1055"/>
      <c r="Z72" s="1055"/>
      <c r="AA72" s="1055"/>
      <c r="AB72" s="1055"/>
      <c r="AC72" s="1055"/>
      <c r="AD72" s="1055"/>
      <c r="AE72" s="1055"/>
      <c r="AF72" s="1055"/>
      <c r="AG72" s="1055"/>
      <c r="AH72" s="1055"/>
      <c r="AI72" s="1055"/>
      <c r="AJ72" s="1055"/>
      <c r="AK72" s="1055"/>
      <c r="AL72" s="1055"/>
      <c r="AM72" s="1055"/>
      <c r="AN72" s="1055"/>
      <c r="AO72" s="1055"/>
      <c r="AP72" s="1055"/>
      <c r="AQ72" s="1055"/>
      <c r="AR72" s="1055"/>
      <c r="AS72" s="1055"/>
      <c r="AT72" s="1055"/>
      <c r="AU72" s="1055"/>
      <c r="AV72" s="1055"/>
      <c r="AW72" s="1055"/>
      <c r="AX72" s="1055"/>
      <c r="AY72" s="1055"/>
      <c r="AZ72" s="1055"/>
      <c r="BA72" s="1055"/>
      <c r="BB72" s="1055"/>
      <c r="BC72" s="1055"/>
      <c r="BD72" s="1055"/>
      <c r="BE72" s="1055"/>
      <c r="BF72" s="1055"/>
      <c r="BG72" s="1055"/>
      <c r="BH72" s="1055"/>
      <c r="BI72" s="1055"/>
      <c r="BJ72" s="1055"/>
      <c r="BK72" s="1055"/>
      <c r="BL72" s="1055"/>
      <c r="BM72" s="1055"/>
      <c r="BN72" s="1055"/>
      <c r="BO72" s="1055"/>
      <c r="BP72" s="1055"/>
      <c r="BQ72" s="1055"/>
      <c r="BR72" s="1055"/>
      <c r="BS72" s="1055"/>
      <c r="BT72" s="1055"/>
      <c r="BU72" s="1055"/>
      <c r="BV72" s="1057"/>
    </row>
    <row r="73" spans="1:104" s="1053" customFormat="1" x14ac:dyDescent="0.25">
      <c r="A73" s="1058"/>
      <c r="B73" s="1055"/>
      <c r="C73" s="1056"/>
      <c r="D73" s="1253"/>
      <c r="E73" s="1074"/>
      <c r="F73" s="1055"/>
      <c r="G73" s="1055"/>
      <c r="H73" s="1055"/>
      <c r="I73" s="1055"/>
      <c r="J73" s="1055"/>
      <c r="K73" s="1055"/>
      <c r="L73" s="1055"/>
      <c r="M73" s="1055"/>
      <c r="N73" s="1055"/>
      <c r="O73" s="1055"/>
      <c r="P73" s="1055"/>
      <c r="Q73" s="1055"/>
      <c r="R73" s="1055"/>
      <c r="S73" s="1055"/>
      <c r="T73" s="1055"/>
      <c r="U73" s="1055"/>
      <c r="V73" s="1055"/>
      <c r="W73" s="1055"/>
      <c r="X73" s="1055"/>
      <c r="Y73" s="1055"/>
      <c r="Z73" s="1055"/>
      <c r="AA73" s="1055"/>
      <c r="AB73" s="1055"/>
      <c r="AC73" s="1055"/>
      <c r="AD73" s="1055"/>
      <c r="AE73" s="1055"/>
      <c r="AF73" s="1055"/>
      <c r="AG73" s="1055"/>
      <c r="AH73" s="1055"/>
      <c r="AI73" s="1055"/>
      <c r="AJ73" s="1055"/>
      <c r="AK73" s="1055"/>
      <c r="AL73" s="1055"/>
      <c r="AM73" s="1055"/>
      <c r="AN73" s="1055"/>
      <c r="AO73" s="1055"/>
      <c r="AP73" s="1055"/>
      <c r="AQ73" s="1055"/>
      <c r="AR73" s="1055"/>
      <c r="AS73" s="1055"/>
      <c r="AT73" s="1055"/>
      <c r="AU73" s="1055"/>
      <c r="AV73" s="1055"/>
      <c r="AW73" s="1055"/>
      <c r="AX73" s="1055"/>
      <c r="AY73" s="1055"/>
      <c r="AZ73" s="1055"/>
      <c r="BA73" s="1055"/>
      <c r="BB73" s="1055"/>
      <c r="BC73" s="1055"/>
      <c r="BD73" s="1055"/>
      <c r="BE73" s="1055"/>
      <c r="BF73" s="1055"/>
      <c r="BG73" s="1055"/>
      <c r="BH73" s="1055"/>
      <c r="BI73" s="1055"/>
      <c r="BJ73" s="1055"/>
      <c r="BK73" s="1055"/>
      <c r="BL73" s="1055"/>
      <c r="BM73" s="1055"/>
      <c r="BN73" s="1055"/>
      <c r="BO73" s="1055"/>
      <c r="BP73" s="1055"/>
      <c r="BQ73" s="1055"/>
      <c r="BR73" s="1055"/>
      <c r="BS73" s="1055"/>
      <c r="BT73" s="1055"/>
      <c r="BU73" s="1055"/>
      <c r="BV73" s="1057"/>
    </row>
    <row r="74" spans="1:104" s="1053" customFormat="1" x14ac:dyDescent="0.25">
      <c r="A74" s="1058" t="s">
        <v>681</v>
      </c>
      <c r="B74" s="1055"/>
      <c r="C74" s="1056"/>
      <c r="D74" s="1253"/>
      <c r="E74" s="1056"/>
      <c r="F74" s="1055"/>
      <c r="G74" s="1055"/>
      <c r="H74" s="1055"/>
      <c r="I74" s="1055"/>
      <c r="J74" s="1055"/>
      <c r="K74" s="1055"/>
      <c r="L74" s="1055"/>
      <c r="M74" s="1055"/>
      <c r="N74" s="1059">
        <v>11.359373</v>
      </c>
      <c r="O74" s="1059">
        <v>10.802343</v>
      </c>
      <c r="P74" s="1059">
        <v>10.473763999999999</v>
      </c>
      <c r="Q74" s="1059">
        <v>10.501935</v>
      </c>
      <c r="R74" s="1059">
        <v>10.334021999999999</v>
      </c>
      <c r="S74" s="1059">
        <v>10.229792</v>
      </c>
      <c r="T74" s="1059">
        <v>10.748874000000001</v>
      </c>
      <c r="U74" s="1059">
        <v>11.092333999999999</v>
      </c>
      <c r="V74" s="1059">
        <v>11.515472000000001</v>
      </c>
      <c r="W74" s="1059">
        <v>11.774895000000001</v>
      </c>
      <c r="X74" s="1059">
        <v>11.996413</v>
      </c>
      <c r="Y74" s="1059">
        <v>12.209519999999999</v>
      </c>
      <c r="Z74" s="1059">
        <v>12.479982</v>
      </c>
      <c r="AA74" s="1059">
        <v>12.729352</v>
      </c>
      <c r="AB74" s="1059">
        <v>12.853237999999999</v>
      </c>
      <c r="AC74" s="1059">
        <v>13.018173000000001</v>
      </c>
      <c r="AD74" s="1059">
        <v>13.212711000000001</v>
      </c>
      <c r="AE74" s="1059">
        <v>13.366512</v>
      </c>
      <c r="AF74" s="1059">
        <v>13.603230999999999</v>
      </c>
      <c r="AG74" s="1059">
        <v>13.784504</v>
      </c>
      <c r="AH74" s="1059">
        <v>13.991047</v>
      </c>
      <c r="AI74" s="1059">
        <v>14.231726</v>
      </c>
      <c r="AJ74" s="1059">
        <v>14.577776</v>
      </c>
      <c r="AK74" s="1059">
        <v>14.956607999999999</v>
      </c>
      <c r="AL74" s="1059">
        <v>15.347963</v>
      </c>
      <c r="AM74" s="1059">
        <v>15.708157999999999</v>
      </c>
      <c r="AN74" s="1059">
        <v>16.169785000000001</v>
      </c>
      <c r="AO74" s="1059">
        <v>16.471478000000001</v>
      </c>
      <c r="AP74" s="1059">
        <v>16.949921</v>
      </c>
      <c r="AQ74" s="1059">
        <v>17.380462999999999</v>
      </c>
      <c r="AR74" s="1059">
        <v>17.673891000000001</v>
      </c>
      <c r="AS74" s="1055"/>
      <c r="AT74" s="1055"/>
      <c r="AU74" s="1055"/>
      <c r="AV74" s="1055"/>
      <c r="AW74" s="1055"/>
      <c r="AX74" s="1055"/>
      <c r="AY74" s="1055"/>
      <c r="AZ74" s="1055"/>
      <c r="BA74" s="1055"/>
      <c r="BB74" s="1055"/>
      <c r="BC74" s="1055"/>
      <c r="BD74" s="1055"/>
      <c r="BE74" s="1055"/>
      <c r="BF74" s="1055"/>
      <c r="BG74" s="1055"/>
      <c r="BH74" s="1055"/>
      <c r="BI74" s="1055"/>
      <c r="BJ74" s="1055"/>
      <c r="BK74" s="1055"/>
      <c r="BL74" s="1055"/>
      <c r="BM74" s="1055"/>
      <c r="BN74" s="1055"/>
      <c r="BO74" s="1055"/>
      <c r="BP74" s="1055"/>
      <c r="BQ74" s="1055"/>
      <c r="BR74" s="1055"/>
      <c r="BS74" s="1055"/>
      <c r="BT74" s="1055"/>
      <c r="BU74" s="1055"/>
      <c r="BV74" s="1057"/>
    </row>
    <row r="75" spans="1:104" s="1053" customFormat="1" x14ac:dyDescent="0.25">
      <c r="A75" s="1058" t="s">
        <v>1085</v>
      </c>
      <c r="B75" s="1055"/>
      <c r="C75" s="1056"/>
      <c r="D75" s="1253"/>
      <c r="E75" s="1056"/>
      <c r="F75" s="1055"/>
      <c r="G75" s="1055"/>
      <c r="H75" s="1055"/>
      <c r="I75" s="1055"/>
      <c r="J75" s="1055"/>
      <c r="K75" s="1055"/>
      <c r="L75" s="1055"/>
      <c r="M75" s="1055"/>
      <c r="N75" s="1059">
        <v>9.3969749999999994</v>
      </c>
      <c r="O75" s="1059">
        <v>8.8368559999999992</v>
      </c>
      <c r="P75" s="1059">
        <v>8.081448</v>
      </c>
      <c r="Q75" s="1059">
        <v>8.4844790000000003</v>
      </c>
      <c r="R75" s="1059">
        <v>8.3155520000000003</v>
      </c>
      <c r="S75" s="1059">
        <v>8.1773039999999995</v>
      </c>
      <c r="T75" s="1059">
        <v>8.6431299999999993</v>
      </c>
      <c r="U75" s="1059">
        <v>8.9205120000000004</v>
      </c>
      <c r="V75" s="1059">
        <v>9.2811249999999994</v>
      </c>
      <c r="W75" s="1059">
        <v>9.4920469999999995</v>
      </c>
      <c r="X75" s="1059">
        <v>9.6757190000000008</v>
      </c>
      <c r="Y75" s="1059">
        <v>9.8498520000000003</v>
      </c>
      <c r="Z75" s="1059">
        <v>10.083444999999999</v>
      </c>
      <c r="AA75" s="1059">
        <v>10.292596</v>
      </c>
      <c r="AB75" s="1059">
        <v>10.386177</v>
      </c>
      <c r="AC75" s="1059">
        <v>10.522978999999999</v>
      </c>
      <c r="AD75" s="1059">
        <v>10.688981999999999</v>
      </c>
      <c r="AE75" s="1059">
        <v>10.803459999999999</v>
      </c>
      <c r="AF75" s="1059">
        <v>10.994071</v>
      </c>
      <c r="AG75" s="1059">
        <v>11.132752999999999</v>
      </c>
      <c r="AH75" s="1059">
        <v>11.290343</v>
      </c>
      <c r="AI75" s="1059">
        <v>11.483471</v>
      </c>
      <c r="AJ75" s="1059">
        <v>11.774739</v>
      </c>
      <c r="AK75" s="1059">
        <v>12.104623999999999</v>
      </c>
      <c r="AL75" s="1059">
        <v>12.443429</v>
      </c>
      <c r="AM75" s="1059">
        <v>12.746489</v>
      </c>
      <c r="AN75" s="1059">
        <v>13.159888</v>
      </c>
      <c r="AO75" s="1059">
        <v>13.417020000000001</v>
      </c>
      <c r="AP75" s="1059">
        <v>13.853782000000001</v>
      </c>
      <c r="AQ75" s="1059">
        <v>14.239846</v>
      </c>
      <c r="AR75" s="1059">
        <v>14.480893</v>
      </c>
      <c r="AS75" s="1055"/>
      <c r="AT75" s="1055"/>
      <c r="AU75" s="1055"/>
      <c r="AV75" s="1055"/>
      <c r="AW75" s="1055"/>
      <c r="AX75" s="1055"/>
      <c r="AY75" s="1055"/>
      <c r="AZ75" s="1055"/>
      <c r="BA75" s="1055"/>
      <c r="BB75" s="1055"/>
      <c r="BC75" s="1055"/>
      <c r="BD75" s="1055"/>
      <c r="BE75" s="1055"/>
      <c r="BF75" s="1055"/>
      <c r="BG75" s="1055"/>
      <c r="BH75" s="1055"/>
      <c r="BI75" s="1055"/>
      <c r="BJ75" s="1055"/>
      <c r="BK75" s="1055"/>
      <c r="BL75" s="1055"/>
      <c r="BM75" s="1055"/>
      <c r="BN75" s="1055"/>
      <c r="BO75" s="1055"/>
      <c r="BP75" s="1055"/>
      <c r="BQ75" s="1055"/>
      <c r="BR75" s="1055"/>
      <c r="BS75" s="1055"/>
      <c r="BT75" s="1055"/>
      <c r="BU75" s="1055"/>
      <c r="BV75" s="1057"/>
    </row>
    <row r="76" spans="1:104" s="1053" customFormat="1" x14ac:dyDescent="0.25">
      <c r="A76" s="1058" t="s">
        <v>283</v>
      </c>
      <c r="B76" s="1055"/>
      <c r="C76" s="1056"/>
      <c r="D76" s="1253"/>
      <c r="E76" s="1056"/>
      <c r="F76" s="1055"/>
      <c r="G76" s="1055"/>
      <c r="H76" s="1055"/>
      <c r="I76" s="1055"/>
      <c r="J76" s="1055"/>
      <c r="K76" s="1055"/>
      <c r="L76" s="1055"/>
      <c r="M76" s="1055"/>
      <c r="N76" s="1059">
        <v>5.4839570000000002</v>
      </c>
      <c r="O76" s="1059">
        <v>4.8889880000000003</v>
      </c>
      <c r="P76" s="1059">
        <v>3.7668759999999999</v>
      </c>
      <c r="Q76" s="1059">
        <v>4.3500249999999996</v>
      </c>
      <c r="R76" s="1059">
        <v>4.4161510000000002</v>
      </c>
      <c r="S76" s="1059">
        <v>4.4533610000000001</v>
      </c>
      <c r="T76" s="1059">
        <v>4.916512</v>
      </c>
      <c r="U76" s="1059">
        <v>5.1321560000000002</v>
      </c>
      <c r="V76" s="1059">
        <v>5.3872429999999998</v>
      </c>
      <c r="W76" s="1059">
        <v>5.5533659999999996</v>
      </c>
      <c r="X76" s="1059">
        <v>5.6994189999999998</v>
      </c>
      <c r="Y76" s="1059">
        <v>5.84443</v>
      </c>
      <c r="Z76" s="1059">
        <v>6.055364</v>
      </c>
      <c r="AA76" s="1059">
        <v>6.2505249999999997</v>
      </c>
      <c r="AB76" s="1059">
        <v>6.3249610000000001</v>
      </c>
      <c r="AC76" s="1059">
        <v>6.4443630000000001</v>
      </c>
      <c r="AD76" s="1059">
        <v>6.5689469999999996</v>
      </c>
      <c r="AE76" s="1059">
        <v>6.6624569999999999</v>
      </c>
      <c r="AF76" s="1059">
        <v>6.8533949999999999</v>
      </c>
      <c r="AG76" s="1059">
        <v>6.9821</v>
      </c>
      <c r="AH76" s="1059">
        <v>7.1203779999999997</v>
      </c>
      <c r="AI76" s="1059">
        <v>7.3037179999999999</v>
      </c>
      <c r="AJ76" s="1059">
        <v>7.5896039999999996</v>
      </c>
      <c r="AK76" s="1059">
        <v>7.9110909999999999</v>
      </c>
      <c r="AL76" s="1059">
        <v>8.2410040000000002</v>
      </c>
      <c r="AM76" s="1059">
        <v>8.5300290000000007</v>
      </c>
      <c r="AN76" s="1059">
        <v>8.90123</v>
      </c>
      <c r="AO76" s="1059">
        <v>9.1114479999999993</v>
      </c>
      <c r="AP76" s="1059">
        <v>9.4914550000000002</v>
      </c>
      <c r="AQ76" s="1059">
        <v>9.8126739999999995</v>
      </c>
      <c r="AR76" s="1059">
        <v>10.012231</v>
      </c>
      <c r="AS76" s="1055"/>
      <c r="AT76" s="1055"/>
      <c r="AU76" s="1055"/>
      <c r="AV76" s="1055"/>
      <c r="AW76" s="1055"/>
      <c r="AX76" s="1055"/>
      <c r="AY76" s="1055"/>
      <c r="AZ76" s="1055"/>
      <c r="BA76" s="1055"/>
      <c r="BB76" s="1055"/>
      <c r="BC76" s="1055"/>
      <c r="BD76" s="1055"/>
      <c r="BE76" s="1055"/>
      <c r="BF76" s="1055"/>
      <c r="BG76" s="1055"/>
      <c r="BH76" s="1055"/>
      <c r="BI76" s="1055"/>
      <c r="BJ76" s="1055"/>
      <c r="BK76" s="1055"/>
      <c r="BL76" s="1055"/>
      <c r="BM76" s="1055"/>
      <c r="BN76" s="1055"/>
      <c r="BO76" s="1055"/>
      <c r="BP76" s="1055"/>
      <c r="BQ76" s="1055"/>
      <c r="BR76" s="1055"/>
      <c r="BS76" s="1055"/>
      <c r="BT76" s="1055"/>
      <c r="BU76" s="1055"/>
      <c r="BV76" s="1057"/>
    </row>
    <row r="77" spans="1:104" s="1053" customFormat="1" x14ac:dyDescent="0.25">
      <c r="A77" s="1060" t="str">
        <f>'HyARC Physical Property Data'!$A$74</f>
        <v>Electric Utility Natural Gas</v>
      </c>
      <c r="B77" s="1055"/>
      <c r="C77" s="1056"/>
      <c r="D77" s="1253"/>
      <c r="E77" s="1056"/>
      <c r="F77" s="1055"/>
      <c r="G77" s="1055"/>
      <c r="H77" s="1055"/>
      <c r="I77" s="1055"/>
      <c r="J77" s="1055"/>
      <c r="K77" s="1055"/>
      <c r="L77" s="1055"/>
      <c r="M77" s="1055"/>
      <c r="N77" s="1059">
        <v>5.2581660000000001</v>
      </c>
      <c r="O77" s="1059">
        <v>4.7747140000000003</v>
      </c>
      <c r="P77" s="1059">
        <v>3.3280129999999999</v>
      </c>
      <c r="Q77" s="1059">
        <v>3.7262059999999999</v>
      </c>
      <c r="R77" s="1059">
        <v>3.8342619999999998</v>
      </c>
      <c r="S77" s="1059">
        <v>3.9162499999999998</v>
      </c>
      <c r="T77" s="1059">
        <v>4.3469340000000001</v>
      </c>
      <c r="U77" s="1059">
        <v>4.5235139999999996</v>
      </c>
      <c r="V77" s="1059">
        <v>4.7720750000000001</v>
      </c>
      <c r="W77" s="1059">
        <v>4.9304030000000001</v>
      </c>
      <c r="X77" s="1059">
        <v>5.0667330000000002</v>
      </c>
      <c r="Y77" s="1059">
        <v>5.2030240000000001</v>
      </c>
      <c r="Z77" s="1059">
        <v>5.4141339999999998</v>
      </c>
      <c r="AA77" s="1059">
        <v>5.6120320000000001</v>
      </c>
      <c r="AB77" s="1059">
        <v>5.7180549999999997</v>
      </c>
      <c r="AC77" s="1059">
        <v>5.8497880000000002</v>
      </c>
      <c r="AD77" s="1059">
        <v>5.9964360000000001</v>
      </c>
      <c r="AE77" s="1059">
        <v>6.1136410000000003</v>
      </c>
      <c r="AF77" s="1059">
        <v>6.2808900000000003</v>
      </c>
      <c r="AG77" s="1059">
        <v>6.4099190000000004</v>
      </c>
      <c r="AH77" s="1059">
        <v>6.5488220000000004</v>
      </c>
      <c r="AI77" s="1059">
        <v>6.7307620000000004</v>
      </c>
      <c r="AJ77" s="1059">
        <v>7.0166529999999998</v>
      </c>
      <c r="AK77" s="1059">
        <v>7.3227570000000002</v>
      </c>
      <c r="AL77" s="1059">
        <v>7.6342280000000002</v>
      </c>
      <c r="AM77" s="1059">
        <v>7.902755</v>
      </c>
      <c r="AN77" s="1059">
        <v>8.2651950000000003</v>
      </c>
      <c r="AO77" s="1059">
        <v>8.4774010000000004</v>
      </c>
      <c r="AP77" s="1059">
        <v>8.8551400000000005</v>
      </c>
      <c r="AQ77" s="1059">
        <v>9.1715459999999993</v>
      </c>
      <c r="AR77" s="1059">
        <v>9.3359030000000001</v>
      </c>
      <c r="AS77" s="1055"/>
      <c r="AT77" s="1055"/>
      <c r="AU77" s="1055"/>
      <c r="AV77" s="1055"/>
      <c r="AW77" s="1055"/>
      <c r="AX77" s="1055"/>
      <c r="AY77" s="1055"/>
      <c r="AZ77" s="1055"/>
      <c r="BA77" s="1055"/>
      <c r="BB77" s="1055"/>
      <c r="BC77" s="1055"/>
      <c r="BD77" s="1055"/>
      <c r="BE77" s="1055"/>
      <c r="BF77" s="1055"/>
      <c r="BG77" s="1055"/>
      <c r="BH77" s="1055"/>
      <c r="BI77" s="1055"/>
      <c r="BJ77" s="1055"/>
      <c r="BK77" s="1055"/>
      <c r="BL77" s="1055"/>
      <c r="BM77" s="1055"/>
      <c r="BN77" s="1055"/>
      <c r="BO77" s="1055"/>
      <c r="BP77" s="1055"/>
      <c r="BQ77" s="1055"/>
      <c r="BR77" s="1055"/>
      <c r="BS77" s="1055"/>
      <c r="BT77" s="1055"/>
      <c r="BU77" s="1055"/>
      <c r="BV77" s="1057"/>
    </row>
    <row r="78" spans="1:104" s="1053" customFormat="1" x14ac:dyDescent="0.25">
      <c r="A78" s="1060" t="s">
        <v>1081</v>
      </c>
      <c r="B78" s="1055"/>
      <c r="C78" s="1056"/>
      <c r="D78" s="1253"/>
      <c r="E78" s="1056"/>
      <c r="F78" s="1055"/>
      <c r="G78" s="1055"/>
      <c r="H78" s="1055"/>
      <c r="I78" s="1055"/>
      <c r="J78" s="1055"/>
      <c r="K78" s="1055"/>
      <c r="L78" s="1055"/>
      <c r="M78" s="1055"/>
      <c r="N78" s="1059"/>
      <c r="O78" s="1059"/>
      <c r="P78" s="1059"/>
      <c r="Q78" s="1059"/>
      <c r="R78" s="1059"/>
      <c r="S78" s="1059"/>
      <c r="T78" s="1059"/>
      <c r="U78" s="1059"/>
      <c r="V78" s="1059"/>
      <c r="W78" s="1059"/>
      <c r="X78" s="1059"/>
      <c r="Y78" s="1059"/>
      <c r="Z78" s="1059"/>
      <c r="AA78" s="1059"/>
      <c r="AB78" s="1059"/>
      <c r="AC78" s="1059"/>
      <c r="AD78" s="1059"/>
      <c r="AE78" s="1059"/>
      <c r="AF78" s="1059"/>
      <c r="AG78" s="1059"/>
      <c r="AH78" s="1059"/>
      <c r="AI78" s="1059"/>
      <c r="AJ78" s="1059"/>
      <c r="AK78" s="1059"/>
      <c r="AL78" s="1059"/>
      <c r="AM78" s="1059"/>
      <c r="AN78" s="1059"/>
      <c r="AO78" s="1059"/>
      <c r="AP78" s="1059"/>
      <c r="AQ78" s="1059"/>
      <c r="AR78" s="1059"/>
      <c r="AS78" s="1055"/>
      <c r="AT78" s="1055"/>
      <c r="AU78" s="1055"/>
      <c r="AV78" s="1055"/>
      <c r="AW78" s="1055"/>
      <c r="AX78" s="1055"/>
      <c r="AY78" s="1055"/>
      <c r="AZ78" s="1055"/>
      <c r="BA78" s="1055"/>
      <c r="BB78" s="1055"/>
      <c r="BC78" s="1055"/>
      <c r="BD78" s="1055"/>
      <c r="BE78" s="1055"/>
      <c r="BF78" s="1055"/>
      <c r="BG78" s="1055"/>
      <c r="BH78" s="1055"/>
      <c r="BI78" s="1055"/>
      <c r="BJ78" s="1055"/>
      <c r="BK78" s="1055"/>
      <c r="BL78" s="1055"/>
      <c r="BM78" s="1055"/>
      <c r="BN78" s="1055"/>
      <c r="BO78" s="1055"/>
      <c r="BP78" s="1055"/>
      <c r="BQ78" s="1055"/>
      <c r="BR78" s="1055"/>
      <c r="BS78" s="1055"/>
      <c r="BT78" s="1055"/>
      <c r="BU78" s="1055"/>
      <c r="BV78" s="1057"/>
    </row>
    <row r="79" spans="1:104" s="1053" customFormat="1" x14ac:dyDescent="0.25">
      <c r="A79" s="1058" t="s">
        <v>1087</v>
      </c>
      <c r="B79" s="1055"/>
      <c r="C79" s="1056"/>
      <c r="D79" s="1253"/>
      <c r="E79" s="1056"/>
      <c r="F79" s="1055"/>
      <c r="G79" s="1055"/>
      <c r="H79" s="1055"/>
      <c r="I79" s="1055"/>
      <c r="J79" s="1055"/>
      <c r="K79" s="1055"/>
      <c r="L79" s="1055"/>
      <c r="M79" s="1055"/>
      <c r="N79" s="1059">
        <v>2.2979889999999998</v>
      </c>
      <c r="O79" s="1059">
        <v>2.38</v>
      </c>
      <c r="P79" s="1059">
        <v>2.414561</v>
      </c>
      <c r="Q79" s="1059">
        <v>2.3313350000000002</v>
      </c>
      <c r="R79" s="1059">
        <v>2.4666779999999999</v>
      </c>
      <c r="S79" s="1059">
        <v>2.490294</v>
      </c>
      <c r="T79" s="1059">
        <v>2.5700569999999998</v>
      </c>
      <c r="U79" s="1059">
        <v>2.5762320000000001</v>
      </c>
      <c r="V79" s="1059">
        <v>2.594992</v>
      </c>
      <c r="W79" s="1059">
        <v>2.6086049999999998</v>
      </c>
      <c r="X79" s="1059">
        <v>2.6433580000000001</v>
      </c>
      <c r="Y79" s="1059">
        <v>2.6708150000000002</v>
      </c>
      <c r="Z79" s="1059">
        <v>2.7142179999999998</v>
      </c>
      <c r="AA79" s="1059">
        <v>2.74918</v>
      </c>
      <c r="AB79" s="1059">
        <v>2.7884579999999999</v>
      </c>
      <c r="AC79" s="1059">
        <v>2.8318759999999998</v>
      </c>
      <c r="AD79" s="1059">
        <v>2.8692139999999999</v>
      </c>
      <c r="AE79" s="1059">
        <v>2.899435</v>
      </c>
      <c r="AF79" s="1059">
        <v>2.9368029999999998</v>
      </c>
      <c r="AG79" s="1059">
        <v>2.9781219999999999</v>
      </c>
      <c r="AH79" s="1059">
        <v>3.0179510000000001</v>
      </c>
      <c r="AI79" s="1059">
        <v>3.0527350000000002</v>
      </c>
      <c r="AJ79" s="1059">
        <v>3.090319</v>
      </c>
      <c r="AK79" s="1059">
        <v>3.1298509999999999</v>
      </c>
      <c r="AL79" s="1059">
        <v>3.1705510000000001</v>
      </c>
      <c r="AM79" s="1059">
        <v>3.2163840000000001</v>
      </c>
      <c r="AN79" s="1059">
        <v>3.2516949999999998</v>
      </c>
      <c r="AO79" s="1059">
        <v>3.2783180000000001</v>
      </c>
      <c r="AP79" s="1059">
        <v>3.3114089999999998</v>
      </c>
      <c r="AQ79" s="1059">
        <v>3.3562150000000002</v>
      </c>
      <c r="AR79" s="1059">
        <v>3.398895</v>
      </c>
      <c r="AS79" s="1055"/>
      <c r="AT79" s="1055"/>
      <c r="AU79" s="1055"/>
      <c r="AV79" s="1055"/>
      <c r="AW79" s="1055"/>
      <c r="AX79" s="1055"/>
      <c r="AY79" s="1055"/>
      <c r="AZ79" s="1055"/>
      <c r="BA79" s="1055"/>
      <c r="BB79" s="1055"/>
      <c r="BC79" s="1055"/>
      <c r="BD79" s="1055"/>
      <c r="BE79" s="1055"/>
      <c r="BF79" s="1055"/>
      <c r="BG79" s="1055"/>
      <c r="BH79" s="1055"/>
      <c r="BI79" s="1055"/>
      <c r="BJ79" s="1055"/>
      <c r="BK79" s="1055"/>
      <c r="BL79" s="1055"/>
      <c r="BM79" s="1055"/>
      <c r="BN79" s="1055"/>
      <c r="BO79" s="1055"/>
      <c r="BP79" s="1055"/>
      <c r="BQ79" s="1055"/>
      <c r="BR79" s="1055"/>
      <c r="BS79" s="1055"/>
      <c r="BT79" s="1055"/>
      <c r="BU79" s="1055"/>
      <c r="BV79" s="1057"/>
    </row>
    <row r="80" spans="1:104" s="1053" customFormat="1" x14ac:dyDescent="0.25">
      <c r="A80" s="1058" t="s">
        <v>683</v>
      </c>
      <c r="B80" s="1055"/>
      <c r="C80" s="1056"/>
      <c r="D80" s="1253"/>
      <c r="E80" s="1056"/>
      <c r="F80" s="1055"/>
      <c r="G80" s="1055"/>
      <c r="H80" s="1055"/>
      <c r="I80" s="1055"/>
      <c r="J80" s="1055"/>
      <c r="K80" s="1055"/>
      <c r="L80" s="1055"/>
      <c r="M80" s="1055"/>
      <c r="N80" s="1059">
        <v>30.492578999999999</v>
      </c>
      <c r="O80" s="1059">
        <v>29.980651999999999</v>
      </c>
      <c r="P80" s="1059">
        <v>28.501187999999999</v>
      </c>
      <c r="Q80" s="1059">
        <v>27.791989999999998</v>
      </c>
      <c r="R80" s="1059">
        <v>28.177313000000002</v>
      </c>
      <c r="S80" s="1059">
        <v>28.139455999999999</v>
      </c>
      <c r="T80" s="1059">
        <v>28.689319999999999</v>
      </c>
      <c r="U80" s="1059">
        <v>29.024557000000001</v>
      </c>
      <c r="V80" s="1059">
        <v>29.108899999999998</v>
      </c>
      <c r="W80" s="1059">
        <v>28.975003999999998</v>
      </c>
      <c r="X80" s="1059">
        <v>29.041111000000001</v>
      </c>
      <c r="Y80" s="1059">
        <v>29.162209000000001</v>
      </c>
      <c r="Z80" s="1059">
        <v>29.247681</v>
      </c>
      <c r="AA80" s="1059">
        <v>29.196009</v>
      </c>
      <c r="AB80" s="1059">
        <v>29.115604000000001</v>
      </c>
      <c r="AC80" s="1059">
        <v>29.201962000000002</v>
      </c>
      <c r="AD80" s="1059">
        <v>29.178121999999998</v>
      </c>
      <c r="AE80" s="1059">
        <v>29.212776000000002</v>
      </c>
      <c r="AF80" s="1059">
        <v>29.214404999999999</v>
      </c>
      <c r="AG80" s="1059">
        <v>29.344874999999998</v>
      </c>
      <c r="AH80" s="1059">
        <v>29.550170999999999</v>
      </c>
      <c r="AI80" s="1059">
        <v>29.794819</v>
      </c>
      <c r="AJ80" s="1059">
        <v>29.957190000000001</v>
      </c>
      <c r="AK80" s="1059">
        <v>30.275618000000001</v>
      </c>
      <c r="AL80" s="1059">
        <v>30.801399</v>
      </c>
      <c r="AM80" s="1059">
        <v>31.291125999999998</v>
      </c>
      <c r="AN80" s="1059">
        <v>31.806963</v>
      </c>
      <c r="AO80" s="1059">
        <v>32.268535999999997</v>
      </c>
      <c r="AP80" s="1059">
        <v>32.667476999999998</v>
      </c>
      <c r="AQ80" s="1059">
        <v>33.223427000000001</v>
      </c>
      <c r="AR80" s="1059">
        <v>33.577624999999998</v>
      </c>
      <c r="AS80" s="1055"/>
      <c r="AT80" s="1055"/>
      <c r="AU80" s="1055"/>
      <c r="AV80" s="1055"/>
      <c r="AW80" s="1055"/>
      <c r="AX80" s="1055"/>
      <c r="AY80" s="1055"/>
      <c r="AZ80" s="1055"/>
      <c r="BA80" s="1055"/>
      <c r="BB80" s="1055"/>
      <c r="BC80" s="1055"/>
      <c r="BD80" s="1055"/>
      <c r="BE80" s="1055"/>
      <c r="BF80" s="1055"/>
      <c r="BG80" s="1055"/>
      <c r="BH80" s="1055"/>
      <c r="BI80" s="1055"/>
      <c r="BJ80" s="1055"/>
      <c r="BK80" s="1055"/>
      <c r="BL80" s="1055"/>
      <c r="BM80" s="1055"/>
      <c r="BN80" s="1055"/>
      <c r="BO80" s="1055"/>
      <c r="BP80" s="1055"/>
      <c r="BQ80" s="1055"/>
      <c r="BR80" s="1055"/>
      <c r="BS80" s="1055"/>
      <c r="BT80" s="1055"/>
      <c r="BU80" s="1055"/>
      <c r="BV80" s="1057"/>
    </row>
    <row r="81" spans="1:104" s="1053" customFormat="1" x14ac:dyDescent="0.25">
      <c r="A81" s="1058" t="s">
        <v>698</v>
      </c>
      <c r="B81" s="1055"/>
      <c r="C81" s="1056"/>
      <c r="D81" s="1253"/>
      <c r="E81" s="1056"/>
      <c r="F81" s="1055"/>
      <c r="G81" s="1055"/>
      <c r="H81" s="1055"/>
      <c r="I81" s="1055"/>
      <c r="J81" s="1055"/>
      <c r="K81" s="1055"/>
      <c r="L81" s="1055"/>
      <c r="M81" s="1055"/>
      <c r="N81" s="1059">
        <v>20.260445000000001</v>
      </c>
      <c r="O81" s="1059">
        <v>19.975721</v>
      </c>
      <c r="P81" s="1059">
        <v>18.454588000000001</v>
      </c>
      <c r="Q81" s="1059">
        <v>18.157667</v>
      </c>
      <c r="R81" s="1059">
        <v>18.271274999999999</v>
      </c>
      <c r="S81" s="1059">
        <v>18.191776000000001</v>
      </c>
      <c r="T81" s="1059">
        <v>18.703628999999999</v>
      </c>
      <c r="U81" s="1059">
        <v>19.002967999999999</v>
      </c>
      <c r="V81" s="1059">
        <v>19.096264000000001</v>
      </c>
      <c r="W81" s="1059">
        <v>19.050228000000001</v>
      </c>
      <c r="X81" s="1059">
        <v>19.095860999999999</v>
      </c>
      <c r="Y81" s="1059">
        <v>19.252116999999998</v>
      </c>
      <c r="Z81" s="1059">
        <v>19.422526999999999</v>
      </c>
      <c r="AA81" s="1059">
        <v>19.539289</v>
      </c>
      <c r="AB81" s="1059">
        <v>19.565339999999999</v>
      </c>
      <c r="AC81" s="1059">
        <v>19.722131999999998</v>
      </c>
      <c r="AD81" s="1059">
        <v>19.810991000000001</v>
      </c>
      <c r="AE81" s="1059">
        <v>19.943812999999999</v>
      </c>
      <c r="AF81" s="1059">
        <v>20.046423000000001</v>
      </c>
      <c r="AG81" s="1059">
        <v>20.238405</v>
      </c>
      <c r="AH81" s="1059">
        <v>20.421748999999998</v>
      </c>
      <c r="AI81" s="1059">
        <v>20.607520999999998</v>
      </c>
      <c r="AJ81" s="1059">
        <v>20.839410999999998</v>
      </c>
      <c r="AK81" s="1059">
        <v>21.176966</v>
      </c>
      <c r="AL81" s="1059">
        <v>21.628757</v>
      </c>
      <c r="AM81" s="1059">
        <v>22.108962999999999</v>
      </c>
      <c r="AN81" s="1059">
        <v>22.567038</v>
      </c>
      <c r="AO81" s="1059">
        <v>22.990486000000001</v>
      </c>
      <c r="AP81" s="1059">
        <v>23.379736000000001</v>
      </c>
      <c r="AQ81" s="1059">
        <v>23.871493999999998</v>
      </c>
      <c r="AR81" s="1059">
        <v>24.167221000000001</v>
      </c>
      <c r="AS81" s="1055"/>
      <c r="AT81" s="1055"/>
      <c r="AU81" s="1055"/>
      <c r="AV81" s="1055"/>
      <c r="AW81" s="1055"/>
      <c r="AX81" s="1055"/>
      <c r="AY81" s="1055"/>
      <c r="AZ81" s="1055"/>
      <c r="BA81" s="1055"/>
      <c r="BB81" s="1055"/>
      <c r="BC81" s="1055"/>
      <c r="BD81" s="1055"/>
      <c r="BE81" s="1055"/>
      <c r="BF81" s="1055"/>
      <c r="BG81" s="1055"/>
      <c r="BH81" s="1055"/>
      <c r="BI81" s="1055"/>
      <c r="BJ81" s="1055"/>
      <c r="BK81" s="1055"/>
      <c r="BL81" s="1055"/>
      <c r="BM81" s="1055"/>
      <c r="BN81" s="1055"/>
      <c r="BO81" s="1055"/>
      <c r="BP81" s="1055"/>
      <c r="BQ81" s="1055"/>
      <c r="BR81" s="1055"/>
      <c r="BS81" s="1055"/>
      <c r="BT81" s="1055"/>
      <c r="BU81" s="1055"/>
      <c r="BV81" s="1057"/>
    </row>
    <row r="82" spans="1:104" s="1053" customFormat="1" ht="13" thickBot="1" x14ac:dyDescent="0.3">
      <c r="A82" s="1062" t="s">
        <v>684</v>
      </c>
      <c r="B82" s="1063"/>
      <c r="C82" s="1064"/>
      <c r="D82" s="1254"/>
      <c r="E82" s="1064"/>
      <c r="F82" s="1063"/>
      <c r="G82" s="1063"/>
      <c r="H82" s="1063"/>
      <c r="I82" s="1063"/>
      <c r="J82" s="1063"/>
      <c r="K82" s="1063"/>
      <c r="L82" s="1063"/>
      <c r="M82" s="1063"/>
      <c r="N82" s="1065">
        <v>34.522823000000002</v>
      </c>
      <c r="O82" s="1065">
        <v>34.335875999999999</v>
      </c>
      <c r="P82" s="1065">
        <v>33.292259000000001</v>
      </c>
      <c r="Q82" s="1065">
        <v>32.561348000000002</v>
      </c>
      <c r="R82" s="1065">
        <v>33.352730000000001</v>
      </c>
      <c r="S82" s="1065">
        <v>33.489016999999997</v>
      </c>
      <c r="T82" s="1065">
        <v>34.046703000000001</v>
      </c>
      <c r="U82" s="1065">
        <v>34.326427000000002</v>
      </c>
      <c r="V82" s="1065">
        <v>34.303291000000002</v>
      </c>
      <c r="W82" s="1065">
        <v>34.076405000000001</v>
      </c>
      <c r="X82" s="1065">
        <v>34.105117999999997</v>
      </c>
      <c r="Y82" s="1065">
        <v>34.184669</v>
      </c>
      <c r="Z82" s="1065">
        <v>34.290134000000002</v>
      </c>
      <c r="AA82" s="1065">
        <v>34.319408000000003</v>
      </c>
      <c r="AB82" s="1065">
        <v>34.416462000000003</v>
      </c>
      <c r="AC82" s="1065">
        <v>34.726405999999997</v>
      </c>
      <c r="AD82" s="1065">
        <v>34.904162999999997</v>
      </c>
      <c r="AE82" s="1065">
        <v>35.063048999999999</v>
      </c>
      <c r="AF82" s="1065">
        <v>35.177726999999997</v>
      </c>
      <c r="AG82" s="1065">
        <v>35.337353</v>
      </c>
      <c r="AH82" s="1065">
        <v>35.506706000000001</v>
      </c>
      <c r="AI82" s="1065">
        <v>35.725586</v>
      </c>
      <c r="AJ82" s="1065">
        <v>35.884253999999999</v>
      </c>
      <c r="AK82" s="1065">
        <v>36.154865000000001</v>
      </c>
      <c r="AL82" s="1065">
        <v>36.608756999999997</v>
      </c>
      <c r="AM82" s="1065">
        <v>37.082008000000002</v>
      </c>
      <c r="AN82" s="1065">
        <v>37.502094</v>
      </c>
      <c r="AO82" s="1065">
        <v>37.842292999999998</v>
      </c>
      <c r="AP82" s="1065">
        <v>38.16151</v>
      </c>
      <c r="AQ82" s="1065">
        <v>38.618450000000003</v>
      </c>
      <c r="AR82" s="1065">
        <v>38.850749999999998</v>
      </c>
      <c r="AS82" s="1063"/>
      <c r="AT82" s="1063"/>
      <c r="AU82" s="1063"/>
      <c r="AV82" s="1063"/>
      <c r="AW82" s="1063"/>
      <c r="AX82" s="1063"/>
      <c r="AY82" s="1063"/>
      <c r="AZ82" s="1063"/>
      <c r="BA82" s="1063"/>
      <c r="BB82" s="1063"/>
      <c r="BC82" s="1063"/>
      <c r="BD82" s="1063"/>
      <c r="BE82" s="1063"/>
      <c r="BF82" s="1063"/>
      <c r="BG82" s="1063"/>
      <c r="BH82" s="1063"/>
      <c r="BI82" s="1063"/>
      <c r="BJ82" s="1063"/>
      <c r="BK82" s="1063"/>
      <c r="BL82" s="1063"/>
      <c r="BM82" s="1063"/>
      <c r="BN82" s="1063"/>
      <c r="BO82" s="1063"/>
      <c r="BP82" s="1063"/>
      <c r="BQ82" s="1063"/>
      <c r="BR82" s="1063"/>
      <c r="BS82" s="1063"/>
      <c r="BT82" s="1063"/>
      <c r="BU82" s="1063"/>
      <c r="BV82" s="1066"/>
    </row>
    <row r="83" spans="1:104" x14ac:dyDescent="0.25">
      <c r="D83" s="1096"/>
      <c r="E83" s="975"/>
    </row>
    <row r="84" spans="1:104" x14ac:dyDescent="0.25">
      <c r="D84" s="1096"/>
    </row>
    <row r="85" spans="1:104" ht="13" thickBot="1" x14ac:dyDescent="0.3">
      <c r="D85" s="1096"/>
    </row>
    <row r="86" spans="1:104" ht="13.5" thickTop="1" x14ac:dyDescent="0.3">
      <c r="A86" s="867" t="s">
        <v>1107</v>
      </c>
      <c r="B86" s="868" t="str">
        <f>"Prices are in $(" &amp; ref_year&amp;")/GJ LHV"</f>
        <v>Prices are in $(2016)/GJ LHV</v>
      </c>
      <c r="C86" s="868"/>
      <c r="D86" s="1255"/>
      <c r="E86" s="868"/>
      <c r="F86" s="869"/>
      <c r="G86" s="869"/>
      <c r="H86" s="869"/>
      <c r="I86" s="869"/>
      <c r="J86" s="869"/>
      <c r="K86" s="869"/>
      <c r="L86" s="869"/>
      <c r="M86" s="869"/>
      <c r="N86" s="869"/>
      <c r="O86" s="869"/>
      <c r="P86" s="869"/>
      <c r="Q86" s="869"/>
      <c r="R86" s="869"/>
      <c r="S86" s="869"/>
      <c r="T86" s="869"/>
      <c r="U86" s="869"/>
      <c r="V86" s="869"/>
      <c r="W86" s="869"/>
      <c r="X86" s="869"/>
      <c r="Y86" s="869"/>
      <c r="Z86" s="869"/>
      <c r="AA86" s="869"/>
      <c r="AB86" s="869"/>
      <c r="AC86" s="869"/>
      <c r="AD86" s="869"/>
      <c r="AE86" s="869"/>
      <c r="AF86" s="869"/>
      <c r="AG86" s="869"/>
      <c r="AH86" s="869"/>
      <c r="AI86" s="869"/>
      <c r="AJ86" s="869"/>
      <c r="AK86" s="869"/>
      <c r="AL86" s="869"/>
      <c r="AM86" s="869"/>
      <c r="AN86" s="869"/>
      <c r="AO86" s="869"/>
      <c r="AP86" s="869"/>
      <c r="AQ86" s="869"/>
      <c r="AR86" s="869"/>
      <c r="AS86" s="882" t="s">
        <v>772</v>
      </c>
      <c r="AT86" s="883"/>
      <c r="AU86" s="883"/>
      <c r="AV86" s="883"/>
      <c r="AW86" s="883"/>
      <c r="AX86" s="883"/>
      <c r="AY86" s="883"/>
      <c r="AZ86" s="883"/>
      <c r="BA86" s="883"/>
      <c r="BB86" s="883"/>
      <c r="BC86" s="883"/>
      <c r="BD86" s="883"/>
      <c r="BE86" s="883"/>
      <c r="BF86" s="883"/>
      <c r="BG86" s="883"/>
      <c r="BH86" s="883"/>
      <c r="BI86" s="883"/>
      <c r="BJ86" s="883"/>
      <c r="BK86" s="883"/>
      <c r="BL86" s="883"/>
      <c r="BM86" s="883"/>
      <c r="BN86" s="883"/>
      <c r="BO86" s="883"/>
      <c r="BP86" s="883"/>
      <c r="BQ86" s="883"/>
      <c r="BR86" s="883"/>
      <c r="BS86" s="883"/>
      <c r="BT86" s="883"/>
      <c r="BU86" s="883"/>
      <c r="BV86" s="884"/>
    </row>
    <row r="87" spans="1:104" ht="39.5" thickBot="1" x14ac:dyDescent="0.35">
      <c r="A87" s="1122" t="s">
        <v>1084</v>
      </c>
      <c r="B87" s="1123" t="s">
        <v>678</v>
      </c>
      <c r="C87" s="1123" t="s">
        <v>679</v>
      </c>
      <c r="D87" s="1256" t="s">
        <v>690</v>
      </c>
      <c r="E87" s="1123" t="s">
        <v>691</v>
      </c>
      <c r="F87" s="1124" t="s">
        <v>680</v>
      </c>
      <c r="G87" s="1124" t="s">
        <v>692</v>
      </c>
      <c r="H87" s="889">
        <v>2004</v>
      </c>
      <c r="I87" s="889">
        <v>2005</v>
      </c>
      <c r="J87" s="889">
        <v>2006</v>
      </c>
      <c r="K87" s="889">
        <v>2007</v>
      </c>
      <c r="L87" s="889">
        <v>2008</v>
      </c>
      <c r="M87" s="889">
        <v>2009</v>
      </c>
      <c r="N87" s="889">
        <v>2010</v>
      </c>
      <c r="O87" s="889">
        <v>2011</v>
      </c>
      <c r="P87" s="889">
        <v>2012</v>
      </c>
      <c r="Q87" s="889">
        <v>2013</v>
      </c>
      <c r="R87" s="889">
        <v>2014</v>
      </c>
      <c r="S87" s="889">
        <v>2015</v>
      </c>
      <c r="T87" s="889">
        <v>2016</v>
      </c>
      <c r="U87" s="889">
        <v>2017</v>
      </c>
      <c r="V87" s="889">
        <v>2018</v>
      </c>
      <c r="W87" s="889">
        <v>2019</v>
      </c>
      <c r="X87" s="889">
        <v>2020</v>
      </c>
      <c r="Y87" s="889">
        <v>2021</v>
      </c>
      <c r="Z87" s="889">
        <v>2022</v>
      </c>
      <c r="AA87" s="889">
        <v>2023</v>
      </c>
      <c r="AB87" s="889">
        <v>2024</v>
      </c>
      <c r="AC87" s="889">
        <v>2025</v>
      </c>
      <c r="AD87" s="889">
        <v>2026</v>
      </c>
      <c r="AE87" s="889">
        <v>2027</v>
      </c>
      <c r="AF87" s="889">
        <v>2028</v>
      </c>
      <c r="AG87" s="889">
        <v>2029</v>
      </c>
      <c r="AH87" s="889">
        <v>2030</v>
      </c>
      <c r="AI87" s="889">
        <v>2031</v>
      </c>
      <c r="AJ87" s="889">
        <v>2032</v>
      </c>
      <c r="AK87" s="889">
        <v>2033</v>
      </c>
      <c r="AL87" s="889">
        <v>2034</v>
      </c>
      <c r="AM87" s="889">
        <v>2035</v>
      </c>
      <c r="AN87" s="889">
        <v>2036</v>
      </c>
      <c r="AO87" s="889">
        <v>2037</v>
      </c>
      <c r="AP87" s="889">
        <v>2038</v>
      </c>
      <c r="AQ87" s="889">
        <v>2039</v>
      </c>
      <c r="AR87" s="889">
        <v>2040</v>
      </c>
      <c r="AS87" s="889">
        <v>2041</v>
      </c>
      <c r="AT87" s="889">
        <v>2042</v>
      </c>
      <c r="AU87" s="889">
        <v>2043</v>
      </c>
      <c r="AV87" s="889">
        <v>2044</v>
      </c>
      <c r="AW87" s="889">
        <v>2045</v>
      </c>
      <c r="AX87" s="889">
        <v>2046</v>
      </c>
      <c r="AY87" s="889">
        <v>2047</v>
      </c>
      <c r="AZ87" s="889">
        <v>2048</v>
      </c>
      <c r="BA87" s="889">
        <v>2049</v>
      </c>
      <c r="BB87" s="889">
        <v>2050</v>
      </c>
      <c r="BC87" s="889">
        <v>2051</v>
      </c>
      <c r="BD87" s="889">
        <v>2052</v>
      </c>
      <c r="BE87" s="889">
        <v>2053</v>
      </c>
      <c r="BF87" s="889">
        <v>2054</v>
      </c>
      <c r="BG87" s="889">
        <v>2055</v>
      </c>
      <c r="BH87" s="889">
        <v>2056</v>
      </c>
      <c r="BI87" s="889">
        <v>2057</v>
      </c>
      <c r="BJ87" s="889">
        <v>2058</v>
      </c>
      <c r="BK87" s="889">
        <v>2059</v>
      </c>
      <c r="BL87" s="889">
        <v>2060</v>
      </c>
      <c r="BM87" s="889">
        <v>2061</v>
      </c>
      <c r="BN87" s="889">
        <v>2062</v>
      </c>
      <c r="BO87" s="889">
        <v>2063</v>
      </c>
      <c r="BP87" s="889">
        <v>2064</v>
      </c>
      <c r="BQ87" s="889">
        <v>2065</v>
      </c>
      <c r="BR87" s="889">
        <v>2066</v>
      </c>
      <c r="BS87" s="889">
        <v>2067</v>
      </c>
      <c r="BT87" s="889">
        <v>2068</v>
      </c>
      <c r="BU87" s="889">
        <v>2069</v>
      </c>
      <c r="BV87" s="890">
        <v>2070</v>
      </c>
      <c r="BW87" s="1399">
        <f t="shared" ref="BW87" si="191">+BV87+1</f>
        <v>2071</v>
      </c>
      <c r="BX87" s="1399">
        <f t="shared" ref="BX87" si="192">+BW87+1</f>
        <v>2072</v>
      </c>
      <c r="BY87" s="1399">
        <f t="shared" ref="BY87" si="193">+BX87+1</f>
        <v>2073</v>
      </c>
      <c r="BZ87" s="1399">
        <f t="shared" ref="BZ87" si="194">+BY87+1</f>
        <v>2074</v>
      </c>
      <c r="CA87" s="1399">
        <f t="shared" ref="CA87" si="195">+BZ87+1</f>
        <v>2075</v>
      </c>
      <c r="CB87" s="1399">
        <f t="shared" ref="CB87" si="196">+CA87+1</f>
        <v>2076</v>
      </c>
      <c r="CC87" s="1399">
        <f t="shared" ref="CC87" si="197">+CB87+1</f>
        <v>2077</v>
      </c>
      <c r="CD87" s="1399">
        <f t="shared" ref="CD87" si="198">+CC87+1</f>
        <v>2078</v>
      </c>
      <c r="CE87" s="1399">
        <f t="shared" ref="CE87" si="199">+CD87+1</f>
        <v>2079</v>
      </c>
      <c r="CF87" s="1399">
        <f t="shared" ref="CF87" si="200">+CE87+1</f>
        <v>2080</v>
      </c>
      <c r="CG87" s="1399">
        <f t="shared" ref="CG87" si="201">+CF87+1</f>
        <v>2081</v>
      </c>
      <c r="CH87" s="1399">
        <f t="shared" ref="CH87" si="202">+CG87+1</f>
        <v>2082</v>
      </c>
      <c r="CI87" s="1399">
        <f t="shared" ref="CI87" si="203">+CH87+1</f>
        <v>2083</v>
      </c>
      <c r="CJ87" s="1399">
        <f t="shared" ref="CJ87" si="204">+CI87+1</f>
        <v>2084</v>
      </c>
      <c r="CK87" s="1399">
        <f t="shared" ref="CK87" si="205">+CJ87+1</f>
        <v>2085</v>
      </c>
      <c r="CL87" s="1399">
        <f t="shared" ref="CL87" si="206">+CK87+1</f>
        <v>2086</v>
      </c>
      <c r="CM87" s="1399">
        <f t="shared" ref="CM87" si="207">+CL87+1</f>
        <v>2087</v>
      </c>
      <c r="CN87" s="1399">
        <f t="shared" ref="CN87" si="208">+CM87+1</f>
        <v>2088</v>
      </c>
      <c r="CO87" s="1399">
        <f t="shared" ref="CO87" si="209">+CN87+1</f>
        <v>2089</v>
      </c>
      <c r="CP87" s="1399">
        <f t="shared" ref="CP87" si="210">+CO87+1</f>
        <v>2090</v>
      </c>
      <c r="CQ87" s="1399">
        <f t="shared" ref="CQ87" si="211">+CP87+1</f>
        <v>2091</v>
      </c>
      <c r="CR87" s="1399">
        <f t="shared" ref="CR87" si="212">+CQ87+1</f>
        <v>2092</v>
      </c>
      <c r="CS87" s="1399">
        <f t="shared" ref="CS87" si="213">+CR87+1</f>
        <v>2093</v>
      </c>
      <c r="CT87" s="1399">
        <f t="shared" ref="CT87" si="214">+CS87+1</f>
        <v>2094</v>
      </c>
      <c r="CU87" s="1399">
        <f t="shared" ref="CU87" si="215">+CT87+1</f>
        <v>2095</v>
      </c>
      <c r="CV87" s="1399">
        <f t="shared" ref="CV87" si="216">+CU87+1</f>
        <v>2096</v>
      </c>
      <c r="CW87" s="1399">
        <f t="shared" ref="CW87" si="217">+CV87+1</f>
        <v>2097</v>
      </c>
      <c r="CX87" s="1399">
        <f t="shared" ref="CX87" si="218">+CW87+1</f>
        <v>2098</v>
      </c>
      <c r="CY87" s="1399">
        <f t="shared" ref="CY87" si="219">+CX87+1</f>
        <v>2099</v>
      </c>
      <c r="CZ87" s="1399">
        <f t="shared" ref="CZ87" si="220">+CY87+1</f>
        <v>2100</v>
      </c>
    </row>
    <row r="88" spans="1:104" ht="13" thickBot="1" x14ac:dyDescent="0.3">
      <c r="A88" s="870" t="s">
        <v>1090</v>
      </c>
      <c r="B88" s="871"/>
      <c r="C88" s="871"/>
      <c r="D88" s="1257"/>
      <c r="E88" s="871"/>
      <c r="F88" s="871"/>
      <c r="G88" s="871"/>
      <c r="H88" s="959"/>
      <c r="I88" s="959"/>
      <c r="J88" s="959"/>
      <c r="K88" s="959"/>
      <c r="L88" s="959"/>
      <c r="M88" s="959"/>
      <c r="N88" s="959"/>
      <c r="O88" s="959"/>
      <c r="P88" s="959"/>
      <c r="Q88" s="959"/>
      <c r="R88" s="959"/>
      <c r="S88" s="959"/>
      <c r="T88" s="959"/>
      <c r="U88" s="959"/>
      <c r="V88" s="959"/>
      <c r="W88" s="959"/>
      <c r="X88" s="959"/>
      <c r="Y88" s="959"/>
      <c r="Z88" s="959"/>
      <c r="AA88" s="959"/>
      <c r="AB88" s="959"/>
      <c r="AC88" s="959"/>
      <c r="AD88" s="959"/>
      <c r="AE88" s="959"/>
      <c r="AF88" s="959"/>
      <c r="AG88" s="959"/>
      <c r="AH88" s="959"/>
      <c r="AI88" s="959"/>
      <c r="AJ88" s="959"/>
      <c r="AK88" s="959"/>
      <c r="AL88" s="959"/>
      <c r="AM88" s="959"/>
      <c r="AN88" s="959"/>
      <c r="AO88" s="959"/>
      <c r="AP88" s="959"/>
      <c r="AQ88" s="959"/>
      <c r="AR88" s="959"/>
      <c r="AS88" s="959"/>
      <c r="AT88" s="959"/>
      <c r="AU88" s="959"/>
      <c r="AV88" s="959"/>
      <c r="AW88" s="959"/>
      <c r="AX88" s="959"/>
      <c r="AY88" s="959"/>
      <c r="AZ88" s="959"/>
      <c r="BA88" s="959"/>
      <c r="BC88" s="959"/>
      <c r="BD88" s="959"/>
      <c r="BE88" s="959"/>
      <c r="BF88" s="959"/>
      <c r="BG88" s="959"/>
      <c r="BH88" s="959"/>
      <c r="BI88" s="959"/>
      <c r="BJ88" s="959"/>
      <c r="BK88" s="959"/>
      <c r="BL88" s="959"/>
      <c r="BM88" s="959"/>
      <c r="BN88" s="959"/>
      <c r="BO88" s="959"/>
      <c r="BP88" s="959"/>
      <c r="BR88" s="959"/>
      <c r="BS88" s="959"/>
      <c r="BT88" s="959"/>
      <c r="BU88" s="959"/>
    </row>
    <row r="89" spans="1:104" ht="13" x14ac:dyDescent="0.3">
      <c r="A89" s="873" t="str">
        <f>'HyARC Physical Property Data'!A73</f>
        <v>Residential Natural Gas</v>
      </c>
      <c r="B89" s="260">
        <v>2012</v>
      </c>
      <c r="C89" s="874">
        <f t="shared" ref="C89:C100" si="221">VLOOKUP(ref_year,DeflatorTable,2,FALSE)/VLOOKUP(B89,DeflatorTable,2,FALSE)</f>
        <v>1.0589185747008452</v>
      </c>
      <c r="D89" s="1258" t="str">
        <f>'HyARC Physical Property Data'!H73</f>
        <v>mmBtu</v>
      </c>
      <c r="E89" s="874" t="s">
        <v>1058</v>
      </c>
      <c r="F89" s="260">
        <f>'HyARC Physical Property Data'!$E$6</f>
        <v>47.141269049911173</v>
      </c>
      <c r="G89" s="260">
        <f>'HyARC Physical Property Data'!$I$6</f>
        <v>52.224661236371581</v>
      </c>
      <c r="H89" s="1068">
        <v>12.595706345448797</v>
      </c>
      <c r="I89" s="1068">
        <v>12.595706345448797</v>
      </c>
      <c r="J89" s="1068">
        <v>12.595706345448797</v>
      </c>
      <c r="K89" s="1068">
        <v>12.595706345448797</v>
      </c>
      <c r="L89" s="1068">
        <v>13.121338604068761</v>
      </c>
      <c r="M89" s="1068">
        <v>11.086947084595193</v>
      </c>
      <c r="N89" s="1068">
        <v>10.600250548835966</v>
      </c>
      <c r="O89" s="959">
        <f t="shared" ref="O89:AR89" si="222">O106*($C89/mmBTU_to_GJ*$G89/$F89)</f>
        <v>12.2087929242581</v>
      </c>
      <c r="P89" s="959">
        <f t="shared" si="222"/>
        <v>11.62926676611875</v>
      </c>
      <c r="Q89" s="959">
        <f t="shared" si="222"/>
        <v>11.549569006878718</v>
      </c>
      <c r="R89" s="959">
        <f t="shared" si="222"/>
        <v>12.451077492669647</v>
      </c>
      <c r="S89" s="959">
        <f t="shared" si="222"/>
        <v>12.228661210695314</v>
      </c>
      <c r="T89" s="959">
        <f t="shared" si="222"/>
        <v>11.880721569489316</v>
      </c>
      <c r="U89" s="959">
        <f t="shared" si="222"/>
        <v>12.243181027367417</v>
      </c>
      <c r="V89" s="959">
        <f t="shared" si="222"/>
        <v>12.738447103720736</v>
      </c>
      <c r="W89" s="959">
        <f t="shared" si="222"/>
        <v>12.928721417497503</v>
      </c>
      <c r="X89" s="959">
        <f t="shared" si="222"/>
        <v>12.889662020940529</v>
      </c>
      <c r="Y89" s="959">
        <f t="shared" si="222"/>
        <v>13.126157788188424</v>
      </c>
      <c r="Z89" s="959">
        <f t="shared" si="222"/>
        <v>13.227924378910403</v>
      </c>
      <c r="AA89" s="959">
        <f t="shared" si="222"/>
        <v>13.406700038666168</v>
      </c>
      <c r="AB89" s="959">
        <f t="shared" si="222"/>
        <v>13.682684414389822</v>
      </c>
      <c r="AC89" s="959">
        <f t="shared" si="222"/>
        <v>13.872072505629625</v>
      </c>
      <c r="AD89" s="959">
        <f t="shared" si="222"/>
        <v>13.98822325537062</v>
      </c>
      <c r="AE89" s="959">
        <f t="shared" si="222"/>
        <v>14.139968571775018</v>
      </c>
      <c r="AF89" s="959">
        <f t="shared" si="222"/>
        <v>14.341810480347306</v>
      </c>
      <c r="AG89" s="959">
        <f t="shared" si="222"/>
        <v>14.660154514221039</v>
      </c>
      <c r="AH89" s="959">
        <f t="shared" si="222"/>
        <v>15.014507871353267</v>
      </c>
      <c r="AI89" s="959">
        <f t="shared" si="222"/>
        <v>15.178056515524123</v>
      </c>
      <c r="AJ89" s="959">
        <f t="shared" si="222"/>
        <v>15.247180761459282</v>
      </c>
      <c r="AK89" s="959">
        <f t="shared" si="222"/>
        <v>15.504403238981952</v>
      </c>
      <c r="AL89" s="959">
        <f t="shared" si="222"/>
        <v>15.944730189731404</v>
      </c>
      <c r="AM89" s="959">
        <f t="shared" si="222"/>
        <v>16.240765211360355</v>
      </c>
      <c r="AN89" s="959">
        <f t="shared" si="222"/>
        <v>16.673418609126639</v>
      </c>
      <c r="AO89" s="959">
        <f t="shared" si="222"/>
        <v>16.84862158003515</v>
      </c>
      <c r="AP89" s="959">
        <f t="shared" si="222"/>
        <v>16.990523932954982</v>
      </c>
      <c r="AQ89" s="959">
        <f t="shared" si="222"/>
        <v>17.36681602365595</v>
      </c>
      <c r="AR89" s="959">
        <f t="shared" si="222"/>
        <v>17.766490156398653</v>
      </c>
      <c r="AS89" s="959">
        <f>($BB89-$AR89)/10+AR89</f>
        <v>17.817297159388684</v>
      </c>
      <c r="AT89" s="959">
        <f t="shared" ref="AT89:BA89" si="223">($BB89-$AR89)/10+AS89</f>
        <v>17.868104162378714</v>
      </c>
      <c r="AU89" s="959">
        <f t="shared" si="223"/>
        <v>17.918911165368744</v>
      </c>
      <c r="AV89" s="959">
        <f t="shared" si="223"/>
        <v>17.969718168358774</v>
      </c>
      <c r="AW89" s="959">
        <f t="shared" si="223"/>
        <v>18.020525171348805</v>
      </c>
      <c r="AX89" s="959">
        <f t="shared" si="223"/>
        <v>18.071332174338835</v>
      </c>
      <c r="AY89" s="959">
        <f t="shared" si="223"/>
        <v>18.122139177328865</v>
      </c>
      <c r="AZ89" s="959">
        <f t="shared" si="223"/>
        <v>18.172946180318895</v>
      </c>
      <c r="BA89" s="959">
        <f t="shared" si="223"/>
        <v>18.223753183308926</v>
      </c>
      <c r="BB89" s="961">
        <f>'AEO Data'!$B$30*AM89</f>
        <v>18.274560186298949</v>
      </c>
      <c r="BC89" s="959">
        <f t="shared" ref="BC89:BP92" si="224">($BQ89-$BB89)/15+BB89</f>
        <v>18.423467349139123</v>
      </c>
      <c r="BD89" s="959">
        <f t="shared" si="224"/>
        <v>18.572374511979298</v>
      </c>
      <c r="BE89" s="959">
        <f t="shared" si="224"/>
        <v>18.721281674819473</v>
      </c>
      <c r="BF89" s="959">
        <f t="shared" si="224"/>
        <v>18.870188837659647</v>
      </c>
      <c r="BG89" s="959">
        <f t="shared" si="224"/>
        <v>19.019096000499822</v>
      </c>
      <c r="BH89" s="959">
        <f t="shared" si="224"/>
        <v>19.168003163339996</v>
      </c>
      <c r="BI89" s="959">
        <f t="shared" si="224"/>
        <v>19.316910326180171</v>
      </c>
      <c r="BJ89" s="959">
        <f t="shared" si="224"/>
        <v>19.465817489020345</v>
      </c>
      <c r="BK89" s="959">
        <f t="shared" si="224"/>
        <v>19.61472465186052</v>
      </c>
      <c r="BL89" s="959">
        <f t="shared" si="224"/>
        <v>19.763631814700695</v>
      </c>
      <c r="BM89" s="959">
        <f t="shared" si="224"/>
        <v>19.912538977540869</v>
      </c>
      <c r="BN89" s="959">
        <f t="shared" si="224"/>
        <v>20.061446140381044</v>
      </c>
      <c r="BO89" s="959">
        <f t="shared" si="224"/>
        <v>20.210353303221218</v>
      </c>
      <c r="BP89" s="959">
        <f t="shared" si="224"/>
        <v>20.359260466061393</v>
      </c>
      <c r="BQ89" s="961">
        <f>'AEO Data'!$C$30*BB89</f>
        <v>20.508167628901592</v>
      </c>
      <c r="BR89" s="959">
        <f t="shared" ref="BR89:BU92" si="225">($BV89-$BQ89)/5+BQ89</f>
        <v>20.62538963666017</v>
      </c>
      <c r="BS89" s="959">
        <f t="shared" si="225"/>
        <v>20.742611644418748</v>
      </c>
      <c r="BT89" s="959">
        <f t="shared" si="225"/>
        <v>20.859833652177326</v>
      </c>
      <c r="BU89" s="959">
        <f t="shared" si="225"/>
        <v>20.977055659935903</v>
      </c>
      <c r="BV89" s="962">
        <f>'AEO Data'!$D$30*BQ89</f>
        <v>21.094277667694488</v>
      </c>
      <c r="BW89" s="1398">
        <f>+BV89*BW$133/BV$133</f>
        <v>21.164316872120814</v>
      </c>
      <c r="BX89" s="1398">
        <f t="shared" ref="BX89:CZ89" si="226">+BW89*BX$133/BW$133</f>
        <v>21.234588627300191</v>
      </c>
      <c r="BY89" s="1398">
        <f t="shared" si="226"/>
        <v>21.305093705369501</v>
      </c>
      <c r="BZ89" s="1398">
        <f t="shared" si="226"/>
        <v>21.375832881029339</v>
      </c>
      <c r="CA89" s="1398">
        <f t="shared" si="226"/>
        <v>21.446806931552544</v>
      </c>
      <c r="CB89" s="1398">
        <f t="shared" si="226"/>
        <v>21.492572878539132</v>
      </c>
      <c r="CC89" s="1398">
        <f t="shared" si="226"/>
        <v>21.538436486772465</v>
      </c>
      <c r="CD89" s="1398">
        <f t="shared" si="226"/>
        <v>21.584397964654634</v>
      </c>
      <c r="CE89" s="1398">
        <f t="shared" si="226"/>
        <v>21.630457521032444</v>
      </c>
      <c r="CF89" s="1398">
        <f t="shared" si="226"/>
        <v>21.676615365198366</v>
      </c>
      <c r="CG89" s="1398">
        <f t="shared" si="226"/>
        <v>21.691602524401322</v>
      </c>
      <c r="CH89" s="1398">
        <f t="shared" si="226"/>
        <v>21.706600045689747</v>
      </c>
      <c r="CI89" s="1398">
        <f t="shared" si="226"/>
        <v>21.721607936227954</v>
      </c>
      <c r="CJ89" s="1398">
        <f t="shared" si="226"/>
        <v>21.736626203185217</v>
      </c>
      <c r="CK89" s="1398">
        <f t="shared" si="226"/>
        <v>21.751654853735772</v>
      </c>
      <c r="CL89" s="1398">
        <f t="shared" si="226"/>
        <v>21.756748899145897</v>
      </c>
      <c r="CM89" s="1398">
        <f t="shared" si="226"/>
        <v>21.76184413753646</v>
      </c>
      <c r="CN89" s="1398">
        <f t="shared" si="226"/>
        <v>21.766940569186843</v>
      </c>
      <c r="CO89" s="1398">
        <f t="shared" si="226"/>
        <v>21.772038194376496</v>
      </c>
      <c r="CP89" s="1398">
        <f t="shared" si="226"/>
        <v>21.777137013384934</v>
      </c>
      <c r="CQ89" s="1398">
        <f t="shared" si="226"/>
        <v>21.784864763140046</v>
      </c>
      <c r="CR89" s="1398">
        <f t="shared" si="226"/>
        <v>21.792595255134241</v>
      </c>
      <c r="CS89" s="1398">
        <f t="shared" si="226"/>
        <v>21.800328490340622</v>
      </c>
      <c r="CT89" s="1398">
        <f t="shared" si="226"/>
        <v>21.808064469732635</v>
      </c>
      <c r="CU89" s="1398">
        <f t="shared" si="226"/>
        <v>21.815803194284069</v>
      </c>
      <c r="CV89" s="1398">
        <f t="shared" si="226"/>
        <v>21.827713124132313</v>
      </c>
      <c r="CW89" s="1398">
        <f t="shared" si="226"/>
        <v>21.839629555984068</v>
      </c>
      <c r="CX89" s="1398">
        <f t="shared" si="226"/>
        <v>21.851552493388983</v>
      </c>
      <c r="CY89" s="1398">
        <f t="shared" si="226"/>
        <v>21.863481939898644</v>
      </c>
      <c r="CZ89" s="1398">
        <f t="shared" si="226"/>
        <v>21.875417899066573</v>
      </c>
    </row>
    <row r="90" spans="1:104" ht="13" x14ac:dyDescent="0.3">
      <c r="A90" s="873" t="str">
        <f>'HyARC Physical Property Data'!A71</f>
        <v>Commercial Natural Gas</v>
      </c>
      <c r="B90" s="260">
        <v>2012</v>
      </c>
      <c r="C90" s="874">
        <f t="shared" si="221"/>
        <v>1.0589185747008452</v>
      </c>
      <c r="D90" s="1258" t="str">
        <f>'HyARC Physical Property Data'!H71</f>
        <v>mmBtu</v>
      </c>
      <c r="E90" s="874" t="s">
        <v>1058</v>
      </c>
      <c r="F90" s="260">
        <f>'HyARC Physical Property Data'!$E$6</f>
        <v>47.141269049911173</v>
      </c>
      <c r="G90" s="260">
        <f>'HyARC Physical Property Data'!$I$6</f>
        <v>52.224661236371581</v>
      </c>
      <c r="H90" s="1069">
        <v>10.902002401006685</v>
      </c>
      <c r="I90" s="1069">
        <v>10.902002401006685</v>
      </c>
      <c r="J90" s="1069">
        <v>10.902002401006685</v>
      </c>
      <c r="K90" s="1069">
        <v>10.902002401006685</v>
      </c>
      <c r="L90" s="1069">
        <v>11.622313273930342</v>
      </c>
      <c r="M90" s="1069">
        <v>8.8092072972420112</v>
      </c>
      <c r="N90" s="1069">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9">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9">
        <f>'AEO Data'!$C$30*BB90</f>
        <v>16.784073860837033</v>
      </c>
      <c r="BR90" s="260">
        <f t="shared" si="225"/>
        <v>16.880009434991543</v>
      </c>
      <c r="BS90" s="260">
        <f t="shared" si="225"/>
        <v>16.975945009146052</v>
      </c>
      <c r="BT90" s="260">
        <f t="shared" si="225"/>
        <v>17.071880583300562</v>
      </c>
      <c r="BU90" s="260">
        <f t="shared" si="225"/>
        <v>17.167816157455071</v>
      </c>
      <c r="BV90" s="963">
        <f>'AEO Data'!$D$30*BQ90</f>
        <v>17.263751731609581</v>
      </c>
      <c r="BW90" s="1398">
        <f>+BV90*BW$134/BV$134</f>
        <v>17.321072463598775</v>
      </c>
      <c r="BX90" s="1398">
        <f t="shared" ref="BX90:CZ90" si="229">+BW90*BX$134/BW$134</f>
        <v>17.378583517272784</v>
      </c>
      <c r="BY90" s="1398">
        <f t="shared" si="229"/>
        <v>17.436285524555561</v>
      </c>
      <c r="BZ90" s="1398">
        <f t="shared" si="229"/>
        <v>17.494179119469241</v>
      </c>
      <c r="CA90" s="1398">
        <f t="shared" si="229"/>
        <v>17.552264938141089</v>
      </c>
      <c r="CB90" s="1398">
        <f t="shared" si="229"/>
        <v>17.589720211982893</v>
      </c>
      <c r="CC90" s="1398">
        <f t="shared" si="229"/>
        <v>17.627255412691312</v>
      </c>
      <c r="CD90" s="1398">
        <f t="shared" si="229"/>
        <v>17.664870710824552</v>
      </c>
      <c r="CE90" s="1398">
        <f t="shared" si="229"/>
        <v>17.702566277304761</v>
      </c>
      <c r="CF90" s="1398">
        <f t="shared" si="229"/>
        <v>17.740342283418837</v>
      </c>
      <c r="CG90" s="1398">
        <f t="shared" si="229"/>
        <v>17.752607912975723</v>
      </c>
      <c r="CH90" s="1398">
        <f t="shared" si="229"/>
        <v>17.764882022959085</v>
      </c>
      <c r="CI90" s="1398">
        <f t="shared" si="229"/>
        <v>17.77716461923227</v>
      </c>
      <c r="CJ90" s="1398">
        <f t="shared" si="229"/>
        <v>17.789455707662682</v>
      </c>
      <c r="CK90" s="1398">
        <f t="shared" si="229"/>
        <v>17.801755294121772</v>
      </c>
      <c r="CL90" s="1398">
        <f t="shared" si="229"/>
        <v>17.805924307948906</v>
      </c>
      <c r="CM90" s="1398">
        <f t="shared" si="229"/>
        <v>17.810094298122248</v>
      </c>
      <c r="CN90" s="1398">
        <f t="shared" si="229"/>
        <v>17.81426526487045</v>
      </c>
      <c r="CO90" s="1398">
        <f t="shared" si="229"/>
        <v>17.818437208422218</v>
      </c>
      <c r="CP90" s="1398">
        <f t="shared" si="229"/>
        <v>17.822610129006311</v>
      </c>
      <c r="CQ90" s="1398">
        <f t="shared" si="229"/>
        <v>17.828934590801964</v>
      </c>
      <c r="CR90" s="1398">
        <f t="shared" si="229"/>
        <v>17.835261296871419</v>
      </c>
      <c r="CS90" s="1398">
        <f t="shared" si="229"/>
        <v>17.84159024801107</v>
      </c>
      <c r="CT90" s="1398">
        <f t="shared" si="229"/>
        <v>17.847921445017597</v>
      </c>
      <c r="CU90" s="1398">
        <f t="shared" si="229"/>
        <v>17.854254888687954</v>
      </c>
      <c r="CV90" s="1398">
        <f t="shared" si="229"/>
        <v>17.864002085310659</v>
      </c>
      <c r="CW90" s="1398">
        <f t="shared" si="229"/>
        <v>17.873754603233113</v>
      </c>
      <c r="CX90" s="1398">
        <f t="shared" si="229"/>
        <v>17.883512445360374</v>
      </c>
      <c r="CY90" s="1398">
        <f t="shared" si="229"/>
        <v>17.893275614599098</v>
      </c>
      <c r="CZ90" s="1398">
        <f t="shared" si="229"/>
        <v>17.903044113857518</v>
      </c>
    </row>
    <row r="91" spans="1:104" ht="13" x14ac:dyDescent="0.3">
      <c r="A91" s="873" t="str">
        <f>'HyARC Physical Property Data'!A72</f>
        <v>Industrial Natural Gas</v>
      </c>
      <c r="B91" s="260">
        <v>2012</v>
      </c>
      <c r="C91" s="874">
        <f t="shared" si="221"/>
        <v>1.0589185747008452</v>
      </c>
      <c r="D91" s="1258" t="str">
        <f>'HyARC Physical Property Data'!H72</f>
        <v>mmBtu</v>
      </c>
      <c r="E91" s="874" t="s">
        <v>1058</v>
      </c>
      <c r="F91" s="260">
        <f>'HyARC Physical Property Data'!$E$6</f>
        <v>47.141269049911173</v>
      </c>
      <c r="G91" s="260">
        <f>'HyARC Physical Property Data'!$I$6</f>
        <v>52.224661236371581</v>
      </c>
      <c r="H91" s="1069">
        <v>7.3783194821098821</v>
      </c>
      <c r="I91" s="1069">
        <v>7.3783194821098821</v>
      </c>
      <c r="J91" s="1069">
        <v>7.3783194821098821</v>
      </c>
      <c r="K91" s="1069">
        <v>7.3783194821098821</v>
      </c>
      <c r="L91" s="1069">
        <v>8.8676108815331158</v>
      </c>
      <c r="M91" s="1069">
        <v>4.0882509003775072</v>
      </c>
      <c r="N91" s="1069">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9">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9">
        <f>'AEO Data'!$C$30*BB91</f>
        <v>10.892608287193402</v>
      </c>
      <c r="BR91" s="260">
        <f t="shared" si="225"/>
        <v>10.954869013566299</v>
      </c>
      <c r="BS91" s="260">
        <f t="shared" si="225"/>
        <v>11.017129739939195</v>
      </c>
      <c r="BT91" s="260">
        <f t="shared" si="225"/>
        <v>11.079390466312091</v>
      </c>
      <c r="BU91" s="260">
        <f t="shared" si="225"/>
        <v>11.141651192684987</v>
      </c>
      <c r="BV91" s="963">
        <f>'AEO Data'!$D$30*BQ91</f>
        <v>11.203911919057887</v>
      </c>
      <c r="BW91" s="1398">
        <f>+BV91*BW$135/BV$135</f>
        <v>11.241112201031763</v>
      </c>
      <c r="BX91" s="1398">
        <f t="shared" ref="BX91:CZ91" si="232">+BW91*BX$135/BW$135</f>
        <v>11.278435998880177</v>
      </c>
      <c r="BY91" s="1398">
        <f t="shared" si="232"/>
        <v>11.315883722712151</v>
      </c>
      <c r="BZ91" s="1398">
        <f t="shared" si="232"/>
        <v>11.35345578399839</v>
      </c>
      <c r="CA91" s="1398">
        <f t="shared" si="232"/>
        <v>11.391152595575804</v>
      </c>
      <c r="CB91" s="1398">
        <f t="shared" si="232"/>
        <v>11.415460497794959</v>
      </c>
      <c r="CC91" s="1398">
        <f t="shared" si="232"/>
        <v>11.439820271333133</v>
      </c>
      <c r="CD91" s="1398">
        <f t="shared" si="232"/>
        <v>11.464232026880003</v>
      </c>
      <c r="CE91" s="1398">
        <f t="shared" si="232"/>
        <v>11.488695875361442</v>
      </c>
      <c r="CF91" s="1398">
        <f t="shared" si="232"/>
        <v>11.513211927940032</v>
      </c>
      <c r="CG91" s="1398">
        <f t="shared" si="232"/>
        <v>11.521172134697148</v>
      </c>
      <c r="CH91" s="1398">
        <f t="shared" si="232"/>
        <v>11.529137845121877</v>
      </c>
      <c r="CI91" s="1398">
        <f t="shared" si="232"/>
        <v>11.537109063019443</v>
      </c>
      <c r="CJ91" s="1398">
        <f t="shared" si="232"/>
        <v>11.545085792197696</v>
      </c>
      <c r="CK91" s="1398">
        <f t="shared" si="232"/>
        <v>11.553068036467128</v>
      </c>
      <c r="CL91" s="1398">
        <f t="shared" si="232"/>
        <v>11.55577366294014</v>
      </c>
      <c r="CM91" s="1398">
        <f t="shared" si="232"/>
        <v>11.558479923046971</v>
      </c>
      <c r="CN91" s="1398">
        <f t="shared" si="232"/>
        <v>11.56118681693601</v>
      </c>
      <c r="CO91" s="1398">
        <f t="shared" si="232"/>
        <v>11.563894344755685</v>
      </c>
      <c r="CP91" s="1398">
        <f t="shared" si="232"/>
        <v>11.566602506654455</v>
      </c>
      <c r="CQ91" s="1398">
        <f t="shared" si="232"/>
        <v>11.570706986028089</v>
      </c>
      <c r="CR91" s="1398">
        <f t="shared" si="232"/>
        <v>11.574812921901238</v>
      </c>
      <c r="CS91" s="1398">
        <f t="shared" si="232"/>
        <v>11.578920314790748</v>
      </c>
      <c r="CT91" s="1398">
        <f t="shared" si="232"/>
        <v>11.583029165213651</v>
      </c>
      <c r="CU91" s="1398">
        <f t="shared" si="232"/>
        <v>11.587139473687161</v>
      </c>
      <c r="CV91" s="1398">
        <f t="shared" si="232"/>
        <v>11.593465255829788</v>
      </c>
      <c r="CW91" s="1398">
        <f t="shared" si="232"/>
        <v>11.599794491414899</v>
      </c>
      <c r="CX91" s="1398">
        <f t="shared" si="232"/>
        <v>11.606127182327835</v>
      </c>
      <c r="CY91" s="1398">
        <f t="shared" si="232"/>
        <v>11.612463330454966</v>
      </c>
      <c r="CZ91" s="1398">
        <f t="shared" si="232"/>
        <v>11.618802937683697</v>
      </c>
    </row>
    <row r="92" spans="1:104" ht="13" x14ac:dyDescent="0.3">
      <c r="A92" s="873" t="str">
        <f>'HyARC Physical Property Data'!A74</f>
        <v>Electric Utility Natural Gas</v>
      </c>
      <c r="B92" s="260">
        <v>2012</v>
      </c>
      <c r="C92" s="874">
        <f t="shared" si="221"/>
        <v>1.0589185747008452</v>
      </c>
      <c r="D92" s="1258" t="str">
        <f>'HyARC Physical Property Data'!H74</f>
        <v>mmBtu</v>
      </c>
      <c r="E92" s="874" t="s">
        <v>1058</v>
      </c>
      <c r="F92" s="260">
        <f>'HyARC Physical Property Data'!$E$6</f>
        <v>47.141269049911173</v>
      </c>
      <c r="G92" s="260">
        <f>'HyARC Physical Property Data'!$I$6</f>
        <v>52.224661236371581</v>
      </c>
      <c r="H92" s="1069">
        <v>7.0668336992239764</v>
      </c>
      <c r="I92" s="1069">
        <v>7.0668336992239764</v>
      </c>
      <c r="J92" s="1069">
        <v>7.0668336992239764</v>
      </c>
      <c r="K92" s="1069">
        <v>7.0668336992239764</v>
      </c>
      <c r="L92" s="1069">
        <v>8.8481430201027482</v>
      </c>
      <c r="M92" s="1069">
        <v>4.0298473160863999</v>
      </c>
      <c r="N92" s="1069">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9">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9">
        <f>'AEO Data'!$C$30*BB92</f>
        <v>10.231578547272965</v>
      </c>
      <c r="BR92" s="260">
        <f t="shared" si="225"/>
        <v>10.2900609139843</v>
      </c>
      <c r="BS92" s="260">
        <f t="shared" si="225"/>
        <v>10.348543280695635</v>
      </c>
      <c r="BT92" s="260">
        <f t="shared" si="225"/>
        <v>10.40702564740697</v>
      </c>
      <c r="BU92" s="260">
        <f t="shared" si="225"/>
        <v>10.465508014118305</v>
      </c>
      <c r="BV92" s="963">
        <f>'AEO Data'!$D$30*BQ92</f>
        <v>10.523990380829638</v>
      </c>
      <c r="BW92" s="1398">
        <f>+BV92*BW$136/BV$136</f>
        <v>10.558933123372203</v>
      </c>
      <c r="BX92" s="1398">
        <f t="shared" ref="BX92:CZ92" si="235">+BW92*BX$136/BW$136</f>
        <v>10.593991886094585</v>
      </c>
      <c r="BY92" s="1398">
        <f t="shared" si="235"/>
        <v>10.6291670542179</v>
      </c>
      <c r="BZ92" s="1398">
        <f t="shared" si="235"/>
        <v>10.664459014242302</v>
      </c>
      <c r="CA92" s="1398">
        <f t="shared" si="235"/>
        <v>10.699868153951249</v>
      </c>
      <c r="CB92" s="1398">
        <f t="shared" si="235"/>
        <v>10.722700904777984</v>
      </c>
      <c r="CC92" s="1398">
        <f t="shared" si="235"/>
        <v>10.745582379056525</v>
      </c>
      <c r="CD92" s="1398">
        <f t="shared" si="235"/>
        <v>10.768512680759219</v>
      </c>
      <c r="CE92" s="1398">
        <f t="shared" si="235"/>
        <v>10.791491914080288</v>
      </c>
      <c r="CF92" s="1398">
        <f t="shared" si="235"/>
        <v>10.814520183436294</v>
      </c>
      <c r="CG92" s="1398">
        <f t="shared" si="235"/>
        <v>10.82199731641864</v>
      </c>
      <c r="CH92" s="1398">
        <f t="shared" si="235"/>
        <v>10.829479619072567</v>
      </c>
      <c r="CI92" s="1398">
        <f t="shared" si="235"/>
        <v>10.836967094972369</v>
      </c>
      <c r="CJ92" s="1398">
        <f t="shared" si="235"/>
        <v>10.84445974769482</v>
      </c>
      <c r="CK92" s="1398">
        <f t="shared" si="235"/>
        <v>10.851957580819162</v>
      </c>
      <c r="CL92" s="1398">
        <f t="shared" si="235"/>
        <v>10.854499013417151</v>
      </c>
      <c r="CM92" s="1398">
        <f t="shared" si="235"/>
        <v>10.857041041196203</v>
      </c>
      <c r="CN92" s="1398">
        <f t="shared" si="235"/>
        <v>10.859583664295704</v>
      </c>
      <c r="CO92" s="1398">
        <f t="shared" si="235"/>
        <v>10.862126882855071</v>
      </c>
      <c r="CP92" s="1398">
        <f t="shared" si="235"/>
        <v>10.864670697013759</v>
      </c>
      <c r="CQ92" s="1398">
        <f t="shared" si="235"/>
        <v>10.868526091607942</v>
      </c>
      <c r="CR92" s="1398">
        <f t="shared" si="235"/>
        <v>10.872382854312388</v>
      </c>
      <c r="CS92" s="1398">
        <f t="shared" si="235"/>
        <v>10.876240985612579</v>
      </c>
      <c r="CT92" s="1398">
        <f t="shared" si="235"/>
        <v>10.88010048599417</v>
      </c>
      <c r="CU92" s="1398">
        <f t="shared" si="235"/>
        <v>10.883961355942985</v>
      </c>
      <c r="CV92" s="1398">
        <f t="shared" si="235"/>
        <v>10.889903251140053</v>
      </c>
      <c r="CW92" s="1398">
        <f t="shared" si="235"/>
        <v>10.895848390203703</v>
      </c>
      <c r="CX92" s="1398">
        <f t="shared" si="235"/>
        <v>10.901796774904867</v>
      </c>
      <c r="CY92" s="1398">
        <f t="shared" si="235"/>
        <v>10.907748407015436</v>
      </c>
      <c r="CZ92" s="1398">
        <f t="shared" si="235"/>
        <v>10.913703288308273</v>
      </c>
    </row>
    <row r="93" spans="1:104" ht="13" x14ac:dyDescent="0.3">
      <c r="A93" s="873" t="str">
        <f>'HyARC Physical Property Data'!A75</f>
        <v>Bio Methane</v>
      </c>
      <c r="B93" s="260">
        <v>2007</v>
      </c>
      <c r="C93" s="874">
        <f t="shared" si="221"/>
        <v>1.1446359956438654</v>
      </c>
      <c r="D93" s="1258" t="str">
        <f>'HyARC Physical Property Data'!H75</f>
        <v>mmBtu</v>
      </c>
      <c r="E93" s="874" t="s">
        <v>1058</v>
      </c>
      <c r="F93" s="260">
        <f>'HyARC Physical Property Data'!$E$6</f>
        <v>47.141269049911173</v>
      </c>
      <c r="G93" s="260">
        <f>'HyARC Physical Property Data'!$I$6</f>
        <v>52.224661236371581</v>
      </c>
      <c r="H93" s="1069">
        <v>12.42654028436019</v>
      </c>
      <c r="I93" s="1069">
        <v>12.42654028436019</v>
      </c>
      <c r="J93" s="1069">
        <v>12.42654028436019</v>
      </c>
      <c r="K93" s="1069">
        <v>12.42654028436019</v>
      </c>
      <c r="L93" s="1069">
        <v>12.42654028436019</v>
      </c>
      <c r="M93" s="1069">
        <v>12.42654028436019</v>
      </c>
      <c r="N93" s="1069">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6">
        <f t="shared" si="237"/>
        <v>14.223865310797228</v>
      </c>
      <c r="BW93" s="1398">
        <f>+BV93*BW$136/BV$136</f>
        <v>14.271092726019944</v>
      </c>
      <c r="BX93" s="1398">
        <f t="shared" ref="BX93:CZ93" si="238">+BW93*BX$136/BW$136</f>
        <v>14.318476950147966</v>
      </c>
      <c r="BY93" s="1398">
        <f t="shared" si="238"/>
        <v>14.366018503832969</v>
      </c>
      <c r="BZ93" s="1398">
        <f t="shared" si="238"/>
        <v>14.413717909455341</v>
      </c>
      <c r="CA93" s="1398">
        <f t="shared" si="238"/>
        <v>14.461575691129934</v>
      </c>
      <c r="CB93" s="1398">
        <f t="shared" si="238"/>
        <v>14.49243565590395</v>
      </c>
      <c r="CC93" s="1398">
        <f t="shared" si="238"/>
        <v>14.523361473628309</v>
      </c>
      <c r="CD93" s="1398">
        <f t="shared" si="238"/>
        <v>14.554353284828478</v>
      </c>
      <c r="CE93" s="1398">
        <f t="shared" si="238"/>
        <v>14.585411230329802</v>
      </c>
      <c r="CF93" s="1398">
        <f t="shared" si="238"/>
        <v>14.616535451258134</v>
      </c>
      <c r="CG93" s="1398">
        <f t="shared" si="238"/>
        <v>14.626641288360148</v>
      </c>
      <c r="CH93" s="1398">
        <f t="shared" si="238"/>
        <v>14.636754112613382</v>
      </c>
      <c r="CI93" s="1398">
        <f t="shared" si="238"/>
        <v>14.646873928848736</v>
      </c>
      <c r="CJ93" s="1398">
        <f t="shared" si="238"/>
        <v>14.657000741900452</v>
      </c>
      <c r="CK93" s="1398">
        <f t="shared" si="238"/>
        <v>14.667134556606111</v>
      </c>
      <c r="CL93" s="1398">
        <f t="shared" si="238"/>
        <v>14.670569469948116</v>
      </c>
      <c r="CM93" s="1398">
        <f t="shared" si="238"/>
        <v>14.674005187716483</v>
      </c>
      <c r="CN93" s="1398">
        <f t="shared" si="238"/>
        <v>14.6774417100996</v>
      </c>
      <c r="CO93" s="1398">
        <f t="shared" si="238"/>
        <v>14.6808790372859</v>
      </c>
      <c r="CP93" s="1398">
        <f t="shared" si="238"/>
        <v>14.684317169463862</v>
      </c>
      <c r="CQ93" s="1398">
        <f t="shared" si="238"/>
        <v>14.689527988881515</v>
      </c>
      <c r="CR93" s="1398">
        <f t="shared" si="238"/>
        <v>14.69474065739019</v>
      </c>
      <c r="CS93" s="1398">
        <f t="shared" si="238"/>
        <v>14.699955175646044</v>
      </c>
      <c r="CT93" s="1398">
        <f t="shared" si="238"/>
        <v>14.705171544305472</v>
      </c>
      <c r="CU93" s="1398">
        <f t="shared" si="238"/>
        <v>14.710389764025104</v>
      </c>
      <c r="CV93" s="1398">
        <f t="shared" si="238"/>
        <v>14.718420626266095</v>
      </c>
      <c r="CW93" s="1398">
        <f t="shared" si="238"/>
        <v>14.726455872806168</v>
      </c>
      <c r="CX93" s="1398">
        <f t="shared" si="238"/>
        <v>14.734495506038849</v>
      </c>
      <c r="CY93" s="1398">
        <f t="shared" si="238"/>
        <v>14.74253952835897</v>
      </c>
      <c r="CZ93" s="1398">
        <f t="shared" si="238"/>
        <v>14.750587942162673</v>
      </c>
    </row>
    <row r="94" spans="1:104" ht="13" x14ac:dyDescent="0.3">
      <c r="A94" s="964" t="str">
        <f>'HyARC Physical Property Data'!A85</f>
        <v>Woody Biomass</v>
      </c>
      <c r="B94" s="260">
        <v>2005</v>
      </c>
      <c r="C94" s="874">
        <f t="shared" si="221"/>
        <v>1.2112501494873942</v>
      </c>
      <c r="D94" s="1260" t="str">
        <f>+'HyARC Physical Property Data'!$H$85</f>
        <v>kg</v>
      </c>
      <c r="E94" s="874" t="s">
        <v>1058</v>
      </c>
      <c r="F94" s="260">
        <f>'HyARC Physical Property Data'!$E$45</f>
        <v>19.551069237418005</v>
      </c>
      <c r="G94" s="260">
        <f>'HyARC Physical Property Data'!$I$45</f>
        <v>20.588656379262464</v>
      </c>
      <c r="H94" s="1069">
        <v>1.3438238843289665</v>
      </c>
      <c r="I94" s="1069">
        <v>1.3438238843289665</v>
      </c>
      <c r="J94" s="1069">
        <v>1.3438238843289665</v>
      </c>
      <c r="K94" s="1069">
        <v>1.3438238843289665</v>
      </c>
      <c r="L94" s="1069">
        <v>1.3438238843289665</v>
      </c>
      <c r="M94" s="1069">
        <v>1.3438238843289665</v>
      </c>
      <c r="N94" s="1069">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6">
        <f>4.99*($C$94)</f>
        <v>6.0441382459420971</v>
      </c>
      <c r="BW94" s="1398">
        <f>+BV94*BW$137/BV$137</f>
        <v>6.0586659764672328</v>
      </c>
      <c r="BX94" s="1398">
        <f t="shared" ref="BX94:CZ94" si="239">+BW94*BX$137/BW$137</f>
        <v>6.0732286259412112</v>
      </c>
      <c r="BY94" s="1398">
        <f t="shared" si="239"/>
        <v>6.0878262782954495</v>
      </c>
      <c r="BZ94" s="1398">
        <f t="shared" si="239"/>
        <v>6.1024590176630999</v>
      </c>
      <c r="CA94" s="1398">
        <f t="shared" si="239"/>
        <v>6.1171269283795393</v>
      </c>
      <c r="CB94" s="1398">
        <f t="shared" si="239"/>
        <v>6.1299667153690152</v>
      </c>
      <c r="CC94" s="1398">
        <f t="shared" si="239"/>
        <v>6.1428334529403346</v>
      </c>
      <c r="CD94" s="1398">
        <f t="shared" si="239"/>
        <v>6.155727197662495</v>
      </c>
      <c r="CE94" s="1398">
        <f t="shared" si="239"/>
        <v>6.1686480062232301</v>
      </c>
      <c r="CF94" s="1398">
        <f t="shared" si="239"/>
        <v>6.18159593542926</v>
      </c>
      <c r="CG94" s="1398">
        <f t="shared" si="239"/>
        <v>6.197524392005751</v>
      </c>
      <c r="CH94" s="1398">
        <f t="shared" si="239"/>
        <v>6.2134938923080965</v>
      </c>
      <c r="CI94" s="1398">
        <f t="shared" si="239"/>
        <v>6.229504542095909</v>
      </c>
      <c r="CJ94" s="1398">
        <f t="shared" si="239"/>
        <v>6.245556447401321</v>
      </c>
      <c r="CK94" s="1398">
        <f t="shared" si="239"/>
        <v>6.2616497145296828</v>
      </c>
      <c r="CL94" s="1398">
        <f t="shared" si="239"/>
        <v>6.2750522655841658</v>
      </c>
      <c r="CM94" s="1398">
        <f t="shared" si="239"/>
        <v>6.2884835037072264</v>
      </c>
      <c r="CN94" s="1398">
        <f t="shared" si="239"/>
        <v>6.3019434903011975</v>
      </c>
      <c r="CO94" s="1398">
        <f t="shared" si="239"/>
        <v>6.3154322868998385</v>
      </c>
      <c r="CP94" s="1398">
        <f t="shared" si="239"/>
        <v>6.3289499551686168</v>
      </c>
      <c r="CQ94" s="1398">
        <f t="shared" si="239"/>
        <v>6.3413225489579119</v>
      </c>
      <c r="CR94" s="1398">
        <f t="shared" si="239"/>
        <v>6.3537193301840116</v>
      </c>
      <c r="CS94" s="1398">
        <f t="shared" si="239"/>
        <v>6.3661403461314299</v>
      </c>
      <c r="CT94" s="1398">
        <f t="shared" si="239"/>
        <v>6.3785856441771198</v>
      </c>
      <c r="CU94" s="1398">
        <f t="shared" si="239"/>
        <v>6.3910552717906537</v>
      </c>
      <c r="CV94" s="1398">
        <f t="shared" si="239"/>
        <v>6.4057772391562917</v>
      </c>
      <c r="CW94" s="1398">
        <f t="shared" si="239"/>
        <v>6.4205331189689208</v>
      </c>
      <c r="CX94" s="1398">
        <f t="shared" si="239"/>
        <v>6.4353229893467718</v>
      </c>
      <c r="CY94" s="1398">
        <f t="shared" si="239"/>
        <v>6.4501469285880244</v>
      </c>
      <c r="CZ94" s="1398">
        <f t="shared" si="239"/>
        <v>6.4650050151712186</v>
      </c>
    </row>
    <row r="95" spans="1:104" ht="13" x14ac:dyDescent="0.3">
      <c r="A95" s="910" t="str">
        <f>'HyARC Physical Property Data'!A80</f>
        <v>Metallurgical Coal</v>
      </c>
      <c r="B95" s="260">
        <v>2012</v>
      </c>
      <c r="C95" s="874">
        <f t="shared" si="221"/>
        <v>1.0589185747008452</v>
      </c>
      <c r="D95" s="1259" t="str">
        <f>+'HyARC Physical Property Data'!H80</f>
        <v>kg</v>
      </c>
      <c r="E95" s="901" t="s">
        <v>1052</v>
      </c>
      <c r="F95" s="260">
        <f>'HyARC Physical Property Data'!$E$44</f>
        <v>28.610197070281195</v>
      </c>
      <c r="G95" s="260">
        <f>'HyARC Physical Property Data'!$I$44</f>
        <v>29.865267156269461</v>
      </c>
      <c r="H95" s="1070">
        <v>3.3844321322674711</v>
      </c>
      <c r="I95" s="1070">
        <v>3.3844321322674711</v>
      </c>
      <c r="J95" s="1070">
        <v>3.3844321322674711</v>
      </c>
      <c r="K95" s="1070">
        <v>3.3844321322674711</v>
      </c>
      <c r="L95" s="1070">
        <v>4.1181843560652975</v>
      </c>
      <c r="M95" s="1070">
        <v>4.3291381204071717</v>
      </c>
      <c r="N95" s="1070">
        <v>4.4025133427869543</v>
      </c>
      <c r="O95" s="965">
        <f t="shared" ref="O95:AR95" si="240">O111*($C95/mmBTU_to_GJ*$G95/$F95)</f>
        <v>7.4754647098413036</v>
      </c>
      <c r="P95" s="965">
        <f t="shared" si="240"/>
        <v>7.5961523788362539</v>
      </c>
      <c r="Q95" s="965">
        <f t="shared" si="240"/>
        <v>7.7888515723825718</v>
      </c>
      <c r="R95" s="965">
        <f t="shared" si="240"/>
        <v>7.8710115565120651</v>
      </c>
      <c r="S95" s="965">
        <f t="shared" si="240"/>
        <v>8.1298664269345355</v>
      </c>
      <c r="T95" s="965">
        <f t="shared" si="240"/>
        <v>8.3275528874219908</v>
      </c>
      <c r="U95" s="965">
        <f t="shared" si="240"/>
        <v>8.4326459175194799</v>
      </c>
      <c r="V95" s="965">
        <f t="shared" si="240"/>
        <v>8.5820072281905144</v>
      </c>
      <c r="W95" s="965">
        <f t="shared" si="240"/>
        <v>8.6973241555173413</v>
      </c>
      <c r="X95" s="965">
        <f t="shared" si="240"/>
        <v>8.8306675382480098</v>
      </c>
      <c r="Y95" s="965">
        <f t="shared" si="240"/>
        <v>8.9332721736007059</v>
      </c>
      <c r="Z95" s="965">
        <f t="shared" si="240"/>
        <v>9.0455694993887992</v>
      </c>
      <c r="AA95" s="965">
        <f t="shared" si="240"/>
        <v>9.1556508441725821</v>
      </c>
      <c r="AB95" s="965">
        <f t="shared" si="240"/>
        <v>9.2678109153452777</v>
      </c>
      <c r="AC95" s="965">
        <f t="shared" si="240"/>
        <v>9.379158984022304</v>
      </c>
      <c r="AD95" s="965">
        <f t="shared" si="240"/>
        <v>9.4759674931736608</v>
      </c>
      <c r="AE95" s="965">
        <f t="shared" si="240"/>
        <v>9.5858141430425672</v>
      </c>
      <c r="AF95" s="965">
        <f t="shared" si="240"/>
        <v>9.7090321165885385</v>
      </c>
      <c r="AG95" s="965">
        <f t="shared" si="240"/>
        <v>9.8280622527471682</v>
      </c>
      <c r="AH95" s="965">
        <f t="shared" si="240"/>
        <v>9.9673233001172399</v>
      </c>
      <c r="AI95" s="965">
        <f t="shared" si="240"/>
        <v>10.050780392749491</v>
      </c>
      <c r="AJ95" s="965">
        <f t="shared" si="240"/>
        <v>10.135476967900939</v>
      </c>
      <c r="AK95" s="965">
        <f t="shared" si="240"/>
        <v>10.225183860386949</v>
      </c>
      <c r="AL95" s="965">
        <f t="shared" si="240"/>
        <v>10.307087146953293</v>
      </c>
      <c r="AM95" s="965">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9">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9">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63">
        <f>('AEO Data'!$D$28*BQ95)</f>
        <v>11.669767881573351</v>
      </c>
      <c r="BW95" s="1398">
        <f t="shared" ref="BW95:CZ95" si="244">+BV95*BW$138/BV$138</f>
        <v>11.709222844508201</v>
      </c>
      <c r="BX95" s="1398">
        <f t="shared" si="244"/>
        <v>11.748811202906952</v>
      </c>
      <c r="BY95" s="1398">
        <f t="shared" si="244"/>
        <v>11.788533407773697</v>
      </c>
      <c r="BZ95" s="1398">
        <f t="shared" si="244"/>
        <v>11.828389911637355</v>
      </c>
      <c r="CA95" s="1398">
        <f t="shared" si="244"/>
        <v>11.868381168556825</v>
      </c>
      <c r="CB95" s="1398">
        <f t="shared" si="244"/>
        <v>11.902362207175498</v>
      </c>
      <c r="CC95" s="1398">
        <f t="shared" si="244"/>
        <v>11.936440538842751</v>
      </c>
      <c r="CD95" s="1398">
        <f t="shared" si="244"/>
        <v>11.970616442123857</v>
      </c>
      <c r="CE95" s="1398">
        <f t="shared" si="244"/>
        <v>12.004890196381666</v>
      </c>
      <c r="CF95" s="1398">
        <f t="shared" si="244"/>
        <v>12.039262081778887</v>
      </c>
      <c r="CG95" s="1398">
        <f t="shared" si="244"/>
        <v>12.065505052077379</v>
      </c>
      <c r="CH95" s="1398">
        <f t="shared" si="244"/>
        <v>12.091805226337826</v>
      </c>
      <c r="CI95" s="1398">
        <f t="shared" si="244"/>
        <v>12.118162729252409</v>
      </c>
      <c r="CJ95" s="1398">
        <f t="shared" si="244"/>
        <v>12.144577685785119</v>
      </c>
      <c r="CK95" s="1398">
        <f t="shared" si="244"/>
        <v>12.171050221172331</v>
      </c>
      <c r="CL95" s="1398">
        <f t="shared" si="244"/>
        <v>12.188996392854733</v>
      </c>
      <c r="CM95" s="1398">
        <f t="shared" si="244"/>
        <v>12.206969026105547</v>
      </c>
      <c r="CN95" s="1398">
        <f t="shared" si="244"/>
        <v>12.224968159942263</v>
      </c>
      <c r="CO95" s="1398">
        <f t="shared" si="244"/>
        <v>12.242993833439904</v>
      </c>
      <c r="CP95" s="1398">
        <f t="shared" si="244"/>
        <v>12.261046085731108</v>
      </c>
      <c r="CQ95" s="1398">
        <f t="shared" si="244"/>
        <v>12.267091502720543</v>
      </c>
      <c r="CR95" s="1398">
        <f t="shared" si="244"/>
        <v>12.273139900456183</v>
      </c>
      <c r="CS95" s="1398">
        <f t="shared" si="244"/>
        <v>12.27919128040771</v>
      </c>
      <c r="CT95" s="1398">
        <f t="shared" si="244"/>
        <v>12.285245644045531</v>
      </c>
      <c r="CU95" s="1398">
        <f t="shared" si="244"/>
        <v>12.291302992840782</v>
      </c>
      <c r="CV95" s="1398">
        <f t="shared" si="244"/>
        <v>12.282597276301862</v>
      </c>
      <c r="CW95" s="1398">
        <f t="shared" si="244"/>
        <v>12.273897725870841</v>
      </c>
      <c r="CX95" s="1398">
        <f t="shared" si="244"/>
        <v>12.26520433718037</v>
      </c>
      <c r="CY95" s="1398">
        <f t="shared" si="244"/>
        <v>12.256517105866193</v>
      </c>
      <c r="CZ95" s="1398">
        <f t="shared" si="244"/>
        <v>12.247836027567152</v>
      </c>
    </row>
    <row r="96" spans="1:104" ht="13" x14ac:dyDescent="0.3">
      <c r="A96" s="910" t="str">
        <f>'HyARC Physical Property Data'!A81</f>
        <v>Other Industrial Coal</v>
      </c>
      <c r="B96" s="260">
        <v>2012</v>
      </c>
      <c r="C96" s="874">
        <f t="shared" si="221"/>
        <v>1.0589185747008452</v>
      </c>
      <c r="D96" s="1259" t="str">
        <f>+'HyARC Physical Property Data'!H81</f>
        <v>kg</v>
      </c>
      <c r="E96" s="901" t="s">
        <v>1052</v>
      </c>
      <c r="F96" s="260">
        <f>'HyARC Physical Property Data'!$E$42</f>
        <v>22.7322030001394</v>
      </c>
      <c r="G96" s="260">
        <f>'HyARC Physical Property Data'!$I$42</f>
        <v>23.967615189707661</v>
      </c>
      <c r="H96" s="1070">
        <v>1.7045706620386931</v>
      </c>
      <c r="I96" s="1070">
        <v>1.7045706620386931</v>
      </c>
      <c r="J96" s="1070">
        <v>1.7045706620386931</v>
      </c>
      <c r="K96" s="1070">
        <v>1.7045706620386931</v>
      </c>
      <c r="L96" s="1070">
        <v>1.9454339077615519</v>
      </c>
      <c r="M96" s="1070">
        <v>2.0288096466656182</v>
      </c>
      <c r="N96" s="1070">
        <v>1.8805861108361666</v>
      </c>
      <c r="O96" s="965">
        <f t="shared" ref="O96:AR96" si="245">O112*($C96/mmBTU_to_GJ*$G96/$F96)</f>
        <v>3.5000719734406505</v>
      </c>
      <c r="P96" s="965">
        <f t="shared" si="245"/>
        <v>3.4283630486034649</v>
      </c>
      <c r="Q96" s="965">
        <f t="shared" si="245"/>
        <v>3.5082354103172322</v>
      </c>
      <c r="R96" s="965">
        <f t="shared" si="245"/>
        <v>3.4729360065765973</v>
      </c>
      <c r="S96" s="965">
        <f t="shared" si="245"/>
        <v>3.5728444520840283</v>
      </c>
      <c r="T96" s="965">
        <f t="shared" si="245"/>
        <v>3.6374683095257363</v>
      </c>
      <c r="U96" s="965">
        <f t="shared" si="245"/>
        <v>3.6626327333639828</v>
      </c>
      <c r="V96" s="965">
        <f t="shared" si="245"/>
        <v>3.7258057129267965</v>
      </c>
      <c r="W96" s="965">
        <f t="shared" si="245"/>
        <v>3.7685626924606996</v>
      </c>
      <c r="X96" s="965">
        <f t="shared" si="245"/>
        <v>3.8026038220962977</v>
      </c>
      <c r="Y96" s="965">
        <f t="shared" si="245"/>
        <v>3.8249701999011396</v>
      </c>
      <c r="Z96" s="965">
        <f t="shared" si="245"/>
        <v>3.8516352399554865</v>
      </c>
      <c r="AA96" s="965">
        <f t="shared" si="245"/>
        <v>3.8787257015323093</v>
      </c>
      <c r="AB96" s="965">
        <f t="shared" si="245"/>
        <v>3.9124059636575477</v>
      </c>
      <c r="AC96" s="965">
        <f t="shared" si="245"/>
        <v>3.9446681540411968</v>
      </c>
      <c r="AD96" s="965">
        <f t="shared" si="245"/>
        <v>3.9749376361491651</v>
      </c>
      <c r="AE96" s="965">
        <f t="shared" si="245"/>
        <v>4.0052642644317942</v>
      </c>
      <c r="AF96" s="965">
        <f t="shared" si="245"/>
        <v>4.0387455732082129</v>
      </c>
      <c r="AG96" s="965">
        <f t="shared" si="245"/>
        <v>4.0690235214161303</v>
      </c>
      <c r="AH96" s="965">
        <f t="shared" si="245"/>
        <v>4.1108047829308205</v>
      </c>
      <c r="AI96" s="965">
        <f t="shared" si="245"/>
        <v>4.1436733577233733</v>
      </c>
      <c r="AJ96" s="965">
        <f t="shared" si="245"/>
        <v>4.1746317687147547</v>
      </c>
      <c r="AK96" s="965">
        <f t="shared" si="245"/>
        <v>4.2078082978929805</v>
      </c>
      <c r="AL96" s="965">
        <f t="shared" si="245"/>
        <v>4.2335251347529512</v>
      </c>
      <c r="AM96" s="965">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9">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9">
        <f>('AEO Data'!$C$28*BB96)</f>
        <v>4.705145808410248</v>
      </c>
      <c r="BR96" s="260">
        <f t="shared" si="243"/>
        <v>4.7202300397216757</v>
      </c>
      <c r="BS96" s="260">
        <f t="shared" si="243"/>
        <v>4.7353142710331033</v>
      </c>
      <c r="BT96" s="260">
        <f t="shared" si="243"/>
        <v>4.750398502344531</v>
      </c>
      <c r="BU96" s="260">
        <f t="shared" si="243"/>
        <v>4.7654827336559586</v>
      </c>
      <c r="BV96" s="963">
        <f>('AEO Data'!$D$28*BQ96)</f>
        <v>4.7805669649673872</v>
      </c>
      <c r="BW96" s="1398">
        <f t="shared" ref="BW96:CZ96" si="248">+BV96*BW$138/BV$138</f>
        <v>4.7967298479248255</v>
      </c>
      <c r="BX96" s="1398">
        <f t="shared" si="248"/>
        <v>4.8129473768661839</v>
      </c>
      <c r="BY96" s="1398">
        <f t="shared" si="248"/>
        <v>4.8292197365470884</v>
      </c>
      <c r="BZ96" s="1398">
        <f t="shared" si="248"/>
        <v>4.8455471123478153</v>
      </c>
      <c r="CA96" s="1398">
        <f t="shared" si="248"/>
        <v>4.8619296902754039</v>
      </c>
      <c r="CB96" s="1398">
        <f t="shared" si="248"/>
        <v>4.8758501583004978</v>
      </c>
      <c r="CC96" s="1398">
        <f t="shared" si="248"/>
        <v>4.8898104828110576</v>
      </c>
      <c r="CD96" s="1398">
        <f t="shared" si="248"/>
        <v>4.9038107779224589</v>
      </c>
      <c r="CE96" s="1398">
        <f t="shared" si="248"/>
        <v>4.9178511580768074</v>
      </c>
      <c r="CF96" s="1398">
        <f t="shared" si="248"/>
        <v>4.9319317380438736</v>
      </c>
      <c r="CG96" s="1398">
        <f t="shared" si="248"/>
        <v>4.9426822755134054</v>
      </c>
      <c r="CH96" s="1398">
        <f t="shared" si="248"/>
        <v>4.9534562468141461</v>
      </c>
      <c r="CI96" s="1398">
        <f t="shared" si="248"/>
        <v>4.9642537030267464</v>
      </c>
      <c r="CJ96" s="1398">
        <f t="shared" si="248"/>
        <v>4.9750746953432019</v>
      </c>
      <c r="CK96" s="1398">
        <f t="shared" si="248"/>
        <v>4.9859192750670944</v>
      </c>
      <c r="CL96" s="1398">
        <f t="shared" si="248"/>
        <v>4.993270995886494</v>
      </c>
      <c r="CM96" s="1398">
        <f t="shared" si="248"/>
        <v>5.0006335567929519</v>
      </c>
      <c r="CN96" s="1398">
        <f t="shared" si="248"/>
        <v>5.0080069737701391</v>
      </c>
      <c r="CO96" s="1398">
        <f t="shared" si="248"/>
        <v>5.015391262825295</v>
      </c>
      <c r="CP96" s="1398">
        <f t="shared" si="248"/>
        <v>5.0227864399892601</v>
      </c>
      <c r="CQ96" s="1398">
        <f t="shared" si="248"/>
        <v>5.0252629691749675</v>
      </c>
      <c r="CR96" s="1398">
        <f t="shared" si="248"/>
        <v>5.0277407194352479</v>
      </c>
      <c r="CS96" s="1398">
        <f t="shared" si="248"/>
        <v>5.0302196913721628</v>
      </c>
      <c r="CT96" s="1398">
        <f t="shared" si="248"/>
        <v>5.0326998855880705</v>
      </c>
      <c r="CU96" s="1398">
        <f t="shared" si="248"/>
        <v>5.0351813026856274</v>
      </c>
      <c r="CV96" s="1398">
        <f t="shared" si="248"/>
        <v>5.0316149711771789</v>
      </c>
      <c r="CW96" s="1398">
        <f t="shared" si="248"/>
        <v>5.0280511656394289</v>
      </c>
      <c r="CX96" s="1398">
        <f t="shared" si="248"/>
        <v>5.024489884283275</v>
      </c>
      <c r="CY96" s="1398">
        <f t="shared" si="248"/>
        <v>5.0209311253208835</v>
      </c>
      <c r="CZ96" s="1398">
        <f t="shared" si="248"/>
        <v>5.0173748869656869</v>
      </c>
    </row>
    <row r="97" spans="1:104" ht="13" x14ac:dyDescent="0.3">
      <c r="A97" s="910" t="str">
        <f>'HyARC Physical Property Data'!A79</f>
        <v>Electric Utility Steam Coal</v>
      </c>
      <c r="B97" s="260">
        <v>2012</v>
      </c>
      <c r="C97" s="874">
        <f t="shared" si="221"/>
        <v>1.0589185747008452</v>
      </c>
      <c r="D97" s="1260" t="str">
        <f>+'HyARC Physical Property Data'!$H$79</f>
        <v>kg</v>
      </c>
      <c r="E97" s="901" t="s">
        <v>1052</v>
      </c>
      <c r="F97" s="260">
        <f>'HyARC Physical Property Data'!$E$42</f>
        <v>22.7322030001394</v>
      </c>
      <c r="G97" s="260">
        <f>'HyARC Physical Property Data'!$I$42</f>
        <v>23.967615189707661</v>
      </c>
      <c r="H97" s="1069">
        <v>1.6675147780813302</v>
      </c>
      <c r="I97" s="1069">
        <v>1.6675147780813302</v>
      </c>
      <c r="J97" s="1069">
        <v>1.6675147780813302</v>
      </c>
      <c r="K97" s="1069">
        <v>1.6675147780813302</v>
      </c>
      <c r="L97" s="1069">
        <v>1.899114052814848</v>
      </c>
      <c r="M97" s="1069">
        <v>1.9917537627082553</v>
      </c>
      <c r="N97" s="1069">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9">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9">
        <f>('AEO Data'!$C$28*BB97)</f>
        <v>3.5615609910697135</v>
      </c>
      <c r="BR97" s="260">
        <f t="shared" si="243"/>
        <v>3.5729790027545003</v>
      </c>
      <c r="BS97" s="260">
        <f t="shared" si="243"/>
        <v>3.5843970144392872</v>
      </c>
      <c r="BT97" s="260">
        <f t="shared" si="243"/>
        <v>3.595815026124074</v>
      </c>
      <c r="BU97" s="260">
        <f t="shared" si="243"/>
        <v>3.6072330378088608</v>
      </c>
      <c r="BV97" s="963">
        <f>('AEO Data'!$D$28*BQ97)</f>
        <v>3.6186510494936472</v>
      </c>
      <c r="BW97" s="1398">
        <f t="shared" ref="BW97:CZ97" si="252">+BV97*BW$138/BV$138</f>
        <v>3.6308855467416481</v>
      </c>
      <c r="BX97" s="1398">
        <f t="shared" si="252"/>
        <v>3.6431614082772978</v>
      </c>
      <c r="BY97" s="1398">
        <f t="shared" si="252"/>
        <v>3.6554787739514016</v>
      </c>
      <c r="BZ97" s="1398">
        <f t="shared" si="252"/>
        <v>3.6678377840875944</v>
      </c>
      <c r="CA97" s="1398">
        <f t="shared" si="252"/>
        <v>3.6802385794839378</v>
      </c>
      <c r="CB97" s="1398">
        <f t="shared" si="252"/>
        <v>3.6907756803336049</v>
      </c>
      <c r="CC97" s="1398">
        <f t="shared" si="252"/>
        <v>3.701342950557327</v>
      </c>
      <c r="CD97" s="1398">
        <f t="shared" si="252"/>
        <v>3.7119404765347586</v>
      </c>
      <c r="CE97" s="1398">
        <f t="shared" si="252"/>
        <v>3.7225683448928724</v>
      </c>
      <c r="CF97" s="1398">
        <f t="shared" si="252"/>
        <v>3.7332266425066685</v>
      </c>
      <c r="CG97" s="1398">
        <f t="shared" si="252"/>
        <v>3.7413642638352314</v>
      </c>
      <c r="CH97" s="1398">
        <f t="shared" si="252"/>
        <v>3.7495196234066683</v>
      </c>
      <c r="CI97" s="1398">
        <f t="shared" si="252"/>
        <v>3.7576927598864862</v>
      </c>
      <c r="CJ97" s="1398">
        <f t="shared" si="252"/>
        <v>3.7658837120244759</v>
      </c>
      <c r="CK97" s="1398">
        <f t="shared" si="252"/>
        <v>3.7740925186548933</v>
      </c>
      <c r="CL97" s="1398">
        <f t="shared" si="252"/>
        <v>3.7796574050906777</v>
      </c>
      <c r="CM97" s="1398">
        <f t="shared" si="252"/>
        <v>3.785230496932368</v>
      </c>
      <c r="CN97" s="1398">
        <f t="shared" si="252"/>
        <v>3.7908118062788079</v>
      </c>
      <c r="CO97" s="1398">
        <f t="shared" si="252"/>
        <v>3.7964013452466796</v>
      </c>
      <c r="CP97" s="1398">
        <f t="shared" si="252"/>
        <v>3.8019991259705304</v>
      </c>
      <c r="CQ97" s="1398">
        <f t="shared" si="252"/>
        <v>3.803873735196305</v>
      </c>
      <c r="CR97" s="1398">
        <f t="shared" si="252"/>
        <v>3.8057492687147039</v>
      </c>
      <c r="CS97" s="1398">
        <f t="shared" si="252"/>
        <v>3.807625726981458</v>
      </c>
      <c r="CT97" s="1398">
        <f t="shared" si="252"/>
        <v>3.8095031104525217</v>
      </c>
      <c r="CU97" s="1398">
        <f t="shared" si="252"/>
        <v>3.8113814195840758</v>
      </c>
      <c r="CV97" s="1398">
        <f t="shared" si="252"/>
        <v>3.808681884288271</v>
      </c>
      <c r="CW97" s="1398">
        <f t="shared" si="252"/>
        <v>3.8059842610264538</v>
      </c>
      <c r="CX97" s="1398">
        <f t="shared" si="252"/>
        <v>3.8032885484443635</v>
      </c>
      <c r="CY97" s="1398">
        <f t="shared" si="252"/>
        <v>3.8005947451886986</v>
      </c>
      <c r="CZ97" s="1398">
        <f t="shared" si="252"/>
        <v>3.7979028499071168</v>
      </c>
    </row>
    <row r="98" spans="1:104" ht="13" x14ac:dyDescent="0.3">
      <c r="A98" s="877" t="str">
        <f>'HyARC Physical Property Data'!A76</f>
        <v>Commercial Electricity</v>
      </c>
      <c r="B98" s="260">
        <v>2012</v>
      </c>
      <c r="C98" s="874">
        <f t="shared" si="221"/>
        <v>1.0589185747008452</v>
      </c>
      <c r="D98" s="1248" t="str">
        <f>'HyARC Physical Property Data'!$H$76</f>
        <v>kWh</v>
      </c>
      <c r="E98" s="874" t="s">
        <v>1071</v>
      </c>
      <c r="F98" s="878"/>
      <c r="G98" s="874"/>
      <c r="H98" s="1069">
        <v>26.706046857142852</v>
      </c>
      <c r="I98" s="1069">
        <v>26.706046857142852</v>
      </c>
      <c r="J98" s="1069">
        <v>26.706046857142852</v>
      </c>
      <c r="K98" s="1069">
        <v>26.706046857142852</v>
      </c>
      <c r="L98" s="1069">
        <v>28.244819428571425</v>
      </c>
      <c r="M98" s="1069">
        <v>26.82655314285714</v>
      </c>
      <c r="N98" s="1069">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9">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9">
        <f>'AEO Data'!$C$33*BB98</f>
        <v>33.312642882218888</v>
      </c>
      <c r="BR98" s="260">
        <f t="shared" si="243"/>
        <v>33.29021180684974</v>
      </c>
      <c r="BS98" s="260">
        <f t="shared" si="243"/>
        <v>33.267780731480592</v>
      </c>
      <c r="BT98" s="260">
        <f t="shared" si="243"/>
        <v>33.245349656111443</v>
      </c>
      <c r="BU98" s="260">
        <f t="shared" si="243"/>
        <v>33.222918580742295</v>
      </c>
      <c r="BV98" s="963">
        <f>'AEO Data'!$D$33*BQ98</f>
        <v>33.200487505373161</v>
      </c>
      <c r="BW98" s="1398">
        <f>+BV98*BW$139/BV$139</f>
        <v>33.185869205539639</v>
      </c>
      <c r="BX98" s="1398">
        <f t="shared" ref="BX98:CZ98" si="256">+BW98*BX$139/BW$139</f>
        <v>33.171257342198651</v>
      </c>
      <c r="BY98" s="1398">
        <f t="shared" si="256"/>
        <v>33.156651912516189</v>
      </c>
      <c r="BZ98" s="1398">
        <f t="shared" si="256"/>
        <v>33.142052913659484</v>
      </c>
      <c r="CA98" s="1398">
        <f t="shared" si="256"/>
        <v>33.127460342797029</v>
      </c>
      <c r="CB98" s="1398">
        <f t="shared" si="256"/>
        <v>33.100925764400195</v>
      </c>
      <c r="CC98" s="1398">
        <f t="shared" si="256"/>
        <v>33.074412439786272</v>
      </c>
      <c r="CD98" s="1398">
        <f t="shared" si="256"/>
        <v>33.047920351931317</v>
      </c>
      <c r="CE98" s="1398">
        <f t="shared" si="256"/>
        <v>33.021449483825023</v>
      </c>
      <c r="CF98" s="1398">
        <f t="shared" si="256"/>
        <v>32.994999818470696</v>
      </c>
      <c r="CG98" s="1398">
        <f t="shared" si="256"/>
        <v>32.958563922192354</v>
      </c>
      <c r="CH98" s="1398">
        <f t="shared" si="256"/>
        <v>32.922168261541977</v>
      </c>
      <c r="CI98" s="1398">
        <f t="shared" si="256"/>
        <v>32.885812792087954</v>
      </c>
      <c r="CJ98" s="1398">
        <f t="shared" si="256"/>
        <v>32.849497469447741</v>
      </c>
      <c r="CK98" s="1398">
        <f t="shared" si="256"/>
        <v>32.81322224928779</v>
      </c>
      <c r="CL98" s="1398">
        <f t="shared" si="256"/>
        <v>32.773673393987664</v>
      </c>
      <c r="CM98" s="1398">
        <f t="shared" si="256"/>
        <v>32.734172205812207</v>
      </c>
      <c r="CN98" s="1398">
        <f t="shared" si="256"/>
        <v>32.694718627309562</v>
      </c>
      <c r="CO98" s="1398">
        <f t="shared" si="256"/>
        <v>32.65531260109713</v>
      </c>
      <c r="CP98" s="1398">
        <f t="shared" si="256"/>
        <v>32.615954069861473</v>
      </c>
      <c r="CQ98" s="1398">
        <f t="shared" si="256"/>
        <v>32.57036661325251</v>
      </c>
      <c r="CR98" s="1398">
        <f t="shared" si="256"/>
        <v>32.524842874423982</v>
      </c>
      <c r="CS98" s="1398">
        <f t="shared" si="256"/>
        <v>32.479382764317279</v>
      </c>
      <c r="CT98" s="1398">
        <f t="shared" si="256"/>
        <v>32.433986193998265</v>
      </c>
      <c r="CU98" s="1398">
        <f t="shared" si="256"/>
        <v>32.388653074657114</v>
      </c>
      <c r="CV98" s="1398">
        <f t="shared" si="256"/>
        <v>32.344399879459552</v>
      </c>
      <c r="CW98" s="1398">
        <f t="shared" si="256"/>
        <v>32.300207148193003</v>
      </c>
      <c r="CX98" s="1398">
        <f t="shared" si="256"/>
        <v>32.256074798244526</v>
      </c>
      <c r="CY98" s="1398">
        <f t="shared" si="256"/>
        <v>32.212002747114042</v>
      </c>
      <c r="CZ98" s="1398">
        <f t="shared" si="256"/>
        <v>32.167990912414197</v>
      </c>
    </row>
    <row r="99" spans="1:104" ht="13" x14ac:dyDescent="0.3">
      <c r="A99" s="877" t="str">
        <f>'HyARC Physical Property Data'!A77</f>
        <v>Industrial Electricity</v>
      </c>
      <c r="B99" s="260">
        <v>2012</v>
      </c>
      <c r="C99" s="874">
        <f t="shared" si="221"/>
        <v>1.0589185747008452</v>
      </c>
      <c r="D99" s="1248" t="str">
        <f>'HyARC Physical Property Data'!$H$77</f>
        <v>kWh</v>
      </c>
      <c r="E99" s="874" t="s">
        <v>1071</v>
      </c>
      <c r="F99" s="885"/>
      <c r="G99" s="222"/>
      <c r="H99" s="1069">
        <v>17.630996571428568</v>
      </c>
      <c r="I99" s="1069">
        <v>17.630996571428568</v>
      </c>
      <c r="J99" s="1069">
        <v>17.630996571428568</v>
      </c>
      <c r="K99" s="1069">
        <v>17.630996571428568</v>
      </c>
      <c r="L99" s="1069">
        <v>18.734092571428569</v>
      </c>
      <c r="M99" s="1069">
        <v>18.576507428571425</v>
      </c>
      <c r="N99" s="1069">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9">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9">
        <f>'AEO Data'!$C$33*BB99</f>
        <v>23.863725395110453</v>
      </c>
      <c r="BR99" s="260">
        <f t="shared" si="243"/>
        <v>23.847656750397427</v>
      </c>
      <c r="BS99" s="260">
        <f t="shared" si="243"/>
        <v>23.8315881056844</v>
      </c>
      <c r="BT99" s="260">
        <f t="shared" si="243"/>
        <v>23.815519460971373</v>
      </c>
      <c r="BU99" s="260">
        <f t="shared" si="243"/>
        <v>23.799450816258346</v>
      </c>
      <c r="BV99" s="963">
        <f>'AEO Data'!$D$33*BQ99</f>
        <v>23.783382171545323</v>
      </c>
      <c r="BW99" s="1398">
        <f>+BV99*BW$140/BV$140</f>
        <v>23.79056855003947</v>
      </c>
      <c r="BX99" s="1398">
        <f t="shared" ref="BX99:CZ99" si="260">+BW99*BX$140/BW$140</f>
        <v>23.797757099967246</v>
      </c>
      <c r="BY99" s="1398">
        <f t="shared" si="260"/>
        <v>23.804947821984772</v>
      </c>
      <c r="BZ99" s="1398">
        <f t="shared" si="260"/>
        <v>23.812140716748367</v>
      </c>
      <c r="CA99" s="1398">
        <f t="shared" si="260"/>
        <v>23.819335784914539</v>
      </c>
      <c r="CB99" s="1398">
        <f t="shared" si="260"/>
        <v>23.816642001078176</v>
      </c>
      <c r="CC99" s="1398">
        <f t="shared" si="260"/>
        <v>23.813948521888062</v>
      </c>
      <c r="CD99" s="1398">
        <f t="shared" si="260"/>
        <v>23.811255347309746</v>
      </c>
      <c r="CE99" s="1398">
        <f t="shared" si="260"/>
        <v>23.808562477308776</v>
      </c>
      <c r="CF99" s="1398">
        <f t="shared" si="260"/>
        <v>23.805869911850717</v>
      </c>
      <c r="CG99" s="1398">
        <f t="shared" si="260"/>
        <v>23.795071358532098</v>
      </c>
      <c r="CH99" s="1398">
        <f t="shared" si="260"/>
        <v>23.784277703532847</v>
      </c>
      <c r="CI99" s="1398">
        <f t="shared" si="260"/>
        <v>23.773488944631048</v>
      </c>
      <c r="CJ99" s="1398">
        <f t="shared" si="260"/>
        <v>23.762705079605791</v>
      </c>
      <c r="CK99" s="1398">
        <f t="shared" si="260"/>
        <v>23.751926106237168</v>
      </c>
      <c r="CL99" s="1398">
        <f t="shared" si="260"/>
        <v>23.738702519984074</v>
      </c>
      <c r="CM99" s="1398">
        <f t="shared" si="260"/>
        <v>23.725486295796383</v>
      </c>
      <c r="CN99" s="1398">
        <f t="shared" si="260"/>
        <v>23.712277429575355</v>
      </c>
      <c r="CO99" s="1398">
        <f t="shared" si="260"/>
        <v>23.699075917224537</v>
      </c>
      <c r="CP99" s="1398">
        <f t="shared" si="260"/>
        <v>23.685881754649749</v>
      </c>
      <c r="CQ99" s="1398">
        <f t="shared" si="260"/>
        <v>23.667805095398695</v>
      </c>
      <c r="CR99" s="1398">
        <f t="shared" si="260"/>
        <v>23.649742231944352</v>
      </c>
      <c r="CS99" s="1398">
        <f t="shared" si="260"/>
        <v>23.631693153758011</v>
      </c>
      <c r="CT99" s="1398">
        <f t="shared" si="260"/>
        <v>23.613657850318987</v>
      </c>
      <c r="CU99" s="1398">
        <f t="shared" si="260"/>
        <v>23.595636311114628</v>
      </c>
      <c r="CV99" s="1398">
        <f t="shared" si="260"/>
        <v>23.578692647144699</v>
      </c>
      <c r="CW99" s="1398">
        <f t="shared" si="260"/>
        <v>23.561761150159583</v>
      </c>
      <c r="CX99" s="1398">
        <f t="shared" si="260"/>
        <v>23.544841811422359</v>
      </c>
      <c r="CY99" s="1398">
        <f t="shared" si="260"/>
        <v>23.527934622202373</v>
      </c>
      <c r="CZ99" s="1398">
        <f t="shared" si="260"/>
        <v>23.511039573775246</v>
      </c>
    </row>
    <row r="100" spans="1:104" ht="13.5" thickBot="1" x14ac:dyDescent="0.35">
      <c r="A100" s="879" t="str">
        <f>'HyARC Physical Property Data'!A78</f>
        <v>Residential Electricity</v>
      </c>
      <c r="B100" s="880">
        <v>2012</v>
      </c>
      <c r="C100" s="881">
        <f t="shared" si="221"/>
        <v>1.0589185747008452</v>
      </c>
      <c r="D100" s="1249" t="str">
        <f>'HyARC Physical Property Data'!$H$78</f>
        <v>kWh</v>
      </c>
      <c r="E100" s="881" t="s">
        <v>1071</v>
      </c>
      <c r="F100" s="886"/>
      <c r="G100" s="569"/>
      <c r="H100" s="1071">
        <v>29.496230857142855</v>
      </c>
      <c r="I100" s="1071">
        <v>29.496230857142855</v>
      </c>
      <c r="J100" s="1071">
        <v>29.496230857142855</v>
      </c>
      <c r="K100" s="1071">
        <v>29.496230857142855</v>
      </c>
      <c r="L100" s="1071">
        <v>30.858878857142852</v>
      </c>
      <c r="M100" s="1071">
        <v>29.96898628571428</v>
      </c>
      <c r="N100" s="1071">
        <v>28.680495999999998</v>
      </c>
      <c r="O100" s="880">
        <f t="shared" ref="O100:AR100" si="261">O116*($C100)</f>
        <v>37.012259165882554</v>
      </c>
      <c r="P100" s="880">
        <f t="shared" si="261"/>
        <v>36.883387716422881</v>
      </c>
      <c r="Q100" s="880">
        <f t="shared" si="261"/>
        <v>36.020153058652454</v>
      </c>
      <c r="R100" s="880">
        <f t="shared" si="261"/>
        <v>36.437036594489285</v>
      </c>
      <c r="S100" s="880">
        <f t="shared" si="261"/>
        <v>37.000471284308979</v>
      </c>
      <c r="T100" s="880">
        <f t="shared" si="261"/>
        <v>37.234901031887702</v>
      </c>
      <c r="U100" s="880">
        <f t="shared" si="261"/>
        <v>37.611895105015549</v>
      </c>
      <c r="V100" s="880">
        <f t="shared" si="261"/>
        <v>38.029256213129564</v>
      </c>
      <c r="W100" s="880">
        <f t="shared" si="261"/>
        <v>38.30980398247366</v>
      </c>
      <c r="X100" s="880">
        <f t="shared" si="261"/>
        <v>38.276616415423959</v>
      </c>
      <c r="Y100" s="880">
        <f t="shared" si="261"/>
        <v>38.186511974984086</v>
      </c>
      <c r="Z100" s="880">
        <f t="shared" si="261"/>
        <v>37.913659366922346</v>
      </c>
      <c r="AA100" s="880">
        <f t="shared" si="261"/>
        <v>37.798756112381561</v>
      </c>
      <c r="AB100" s="880">
        <f t="shared" si="261"/>
        <v>38.164246094113849</v>
      </c>
      <c r="AC100" s="880">
        <f t="shared" si="261"/>
        <v>38.270815659471751</v>
      </c>
      <c r="AD100" s="880">
        <f t="shared" si="261"/>
        <v>38.382554865311334</v>
      </c>
      <c r="AE100" s="880">
        <f t="shared" si="261"/>
        <v>38.619545078003675</v>
      </c>
      <c r="AF100" s="880">
        <f t="shared" si="261"/>
        <v>38.734851780521424</v>
      </c>
      <c r="AG100" s="880">
        <f t="shared" si="261"/>
        <v>38.88910974389097</v>
      </c>
      <c r="AH100" s="880">
        <f t="shared" si="261"/>
        <v>39.160747772347534</v>
      </c>
      <c r="AI100" s="880">
        <f t="shared" si="261"/>
        <v>39.451321382756888</v>
      </c>
      <c r="AJ100" s="880">
        <f t="shared" si="261"/>
        <v>39.535438697575401</v>
      </c>
      <c r="AK100" s="880">
        <f t="shared" si="261"/>
        <v>39.570735630425908</v>
      </c>
      <c r="AL100" s="880">
        <f t="shared" si="261"/>
        <v>39.780803897275057</v>
      </c>
      <c r="AM100" s="880">
        <f t="shared" si="261"/>
        <v>40.046078884016239</v>
      </c>
      <c r="AN100" s="880">
        <f t="shared" si="261"/>
        <v>40.326008244912707</v>
      </c>
      <c r="AO100" s="880">
        <f t="shared" si="261"/>
        <v>40.555429307633098</v>
      </c>
      <c r="AP100" s="880">
        <f t="shared" si="261"/>
        <v>40.630021649872177</v>
      </c>
      <c r="AQ100" s="880">
        <f t="shared" si="261"/>
        <v>40.855427293357288</v>
      </c>
      <c r="AR100" s="880">
        <f t="shared" si="261"/>
        <v>41.122689870263187</v>
      </c>
      <c r="AS100" s="880">
        <f t="shared" ref="AS100:BA100" si="262">($BB100-$AR100)/10+AR100</f>
        <v>40.915200036704469</v>
      </c>
      <c r="AT100" s="880">
        <f t="shared" si="262"/>
        <v>40.707710203145751</v>
      </c>
      <c r="AU100" s="880">
        <f t="shared" si="262"/>
        <v>40.500220369587034</v>
      </c>
      <c r="AV100" s="880">
        <f t="shared" si="262"/>
        <v>40.292730536028316</v>
      </c>
      <c r="AW100" s="880">
        <f t="shared" si="262"/>
        <v>40.085240702469598</v>
      </c>
      <c r="AX100" s="880">
        <f t="shared" si="262"/>
        <v>39.87775086891088</v>
      </c>
      <c r="AY100" s="880">
        <f t="shared" si="262"/>
        <v>39.670261035352162</v>
      </c>
      <c r="AZ100" s="880">
        <f t="shared" si="262"/>
        <v>39.462771201793444</v>
      </c>
      <c r="BA100" s="880">
        <f t="shared" si="262"/>
        <v>39.255281368234726</v>
      </c>
      <c r="BB100" s="968">
        <f>'AEO Data'!$B$33*AM100</f>
        <v>39.047791534675994</v>
      </c>
      <c r="BC100" s="880">
        <f t="shared" ref="BC100:BP100" si="263">($BQ100-$BB100)/15+BB100</f>
        <v>39.070541707817128</v>
      </c>
      <c r="BD100" s="880">
        <f t="shared" si="263"/>
        <v>39.093291880958262</v>
      </c>
      <c r="BE100" s="880">
        <f t="shared" si="263"/>
        <v>39.116042054099395</v>
      </c>
      <c r="BF100" s="880">
        <f t="shared" si="263"/>
        <v>39.138792227240529</v>
      </c>
      <c r="BG100" s="880">
        <f t="shared" si="263"/>
        <v>39.161542400381663</v>
      </c>
      <c r="BH100" s="880">
        <f t="shared" si="263"/>
        <v>39.184292573522796</v>
      </c>
      <c r="BI100" s="880">
        <f t="shared" si="263"/>
        <v>39.20704274666393</v>
      </c>
      <c r="BJ100" s="880">
        <f t="shared" si="263"/>
        <v>39.229792919805064</v>
      </c>
      <c r="BK100" s="880">
        <f t="shared" si="263"/>
        <v>39.252543092946198</v>
      </c>
      <c r="BL100" s="880">
        <f t="shared" si="263"/>
        <v>39.275293266087331</v>
      </c>
      <c r="BM100" s="880">
        <f t="shared" si="263"/>
        <v>39.298043439228465</v>
      </c>
      <c r="BN100" s="880">
        <f t="shared" si="263"/>
        <v>39.320793612369599</v>
      </c>
      <c r="BO100" s="880">
        <f t="shared" si="263"/>
        <v>39.343543785510732</v>
      </c>
      <c r="BP100" s="880">
        <f t="shared" si="263"/>
        <v>39.366293958651866</v>
      </c>
      <c r="BQ100" s="968">
        <f>'AEO Data'!$C$33*BB100</f>
        <v>39.389044131793007</v>
      </c>
      <c r="BR100" s="880">
        <f t="shared" si="243"/>
        <v>39.362521510313748</v>
      </c>
      <c r="BS100" s="880">
        <f t="shared" si="243"/>
        <v>39.335998888834489</v>
      </c>
      <c r="BT100" s="880">
        <f t="shared" si="243"/>
        <v>39.30947626735523</v>
      </c>
      <c r="BU100" s="880">
        <f t="shared" si="243"/>
        <v>39.28295364587597</v>
      </c>
      <c r="BV100" s="969">
        <f>'AEO Data'!$D$33*BQ100</f>
        <v>39.256431024396711</v>
      </c>
      <c r="BW100" s="1398">
        <f>+BV100*BW$141/BV$141</f>
        <v>39.239146269797381</v>
      </c>
      <c r="BX100" s="1398">
        <f t="shared" ref="BX100:CZ100" si="264">+BW100*BX$141/BW$141</f>
        <v>39.221869125740675</v>
      </c>
      <c r="BY100" s="1398">
        <f t="shared" si="264"/>
        <v>39.204599588875645</v>
      </c>
      <c r="BZ100" s="1398">
        <f t="shared" si="264"/>
        <v>39.187337655852808</v>
      </c>
      <c r="CA100" s="1398">
        <f t="shared" si="264"/>
        <v>39.170083323324171</v>
      </c>
      <c r="CB100" s="1398">
        <f t="shared" si="264"/>
        <v>39.138708698285058</v>
      </c>
      <c r="CC100" s="1398">
        <f t="shared" si="264"/>
        <v>39.107359203830633</v>
      </c>
      <c r="CD100" s="1398">
        <f t="shared" si="264"/>
        <v>39.076034819831698</v>
      </c>
      <c r="CE100" s="1398">
        <f t="shared" si="264"/>
        <v>39.044735526175167</v>
      </c>
      <c r="CF100" s="1398">
        <f t="shared" si="264"/>
        <v>39.013461302764064</v>
      </c>
      <c r="CG100" s="1398">
        <f t="shared" si="264"/>
        <v>38.970379307391816</v>
      </c>
      <c r="CH100" s="1398">
        <f t="shared" si="264"/>
        <v>38.927344886837673</v>
      </c>
      <c r="CI100" s="1398">
        <f t="shared" si="264"/>
        <v>38.884357988565462</v>
      </c>
      <c r="CJ100" s="1398">
        <f t="shared" si="264"/>
        <v>38.841418560097019</v>
      </c>
      <c r="CK100" s="1398">
        <f t="shared" si="264"/>
        <v>38.798526549012138</v>
      </c>
      <c r="CL100" s="1398">
        <f t="shared" si="264"/>
        <v>38.751763774521798</v>
      </c>
      <c r="CM100" s="1398">
        <f t="shared" si="264"/>
        <v>38.70505736189034</v>
      </c>
      <c r="CN100" s="1398">
        <f t="shared" si="264"/>
        <v>38.658407243186389</v>
      </c>
      <c r="CO100" s="1398">
        <f t="shared" si="264"/>
        <v>38.61181335056046</v>
      </c>
      <c r="CP100" s="1398">
        <f t="shared" si="264"/>
        <v>38.565275616244847</v>
      </c>
      <c r="CQ100" s="1398">
        <f t="shared" si="264"/>
        <v>38.511372767810535</v>
      </c>
      <c r="CR100" s="1398">
        <f t="shared" si="264"/>
        <v>38.457545259614896</v>
      </c>
      <c r="CS100" s="1398">
        <f t="shared" si="264"/>
        <v>38.403792986354553</v>
      </c>
      <c r="CT100" s="1398">
        <f t="shared" si="264"/>
        <v>38.350115842873322</v>
      </c>
      <c r="CU100" s="1398">
        <f t="shared" si="264"/>
        <v>38.296513724162004</v>
      </c>
      <c r="CV100" s="1398">
        <f t="shared" si="264"/>
        <v>38.244188513437287</v>
      </c>
      <c r="CW100" s="1398">
        <f t="shared" si="264"/>
        <v>38.191934795582569</v>
      </c>
      <c r="CX100" s="1398">
        <f t="shared" si="264"/>
        <v>38.139752472915873</v>
      </c>
      <c r="CY100" s="1398">
        <f t="shared" si="264"/>
        <v>38.087641447888679</v>
      </c>
      <c r="CZ100" s="1398">
        <f t="shared" si="264"/>
        <v>38.035601623085753</v>
      </c>
    </row>
    <row r="101" spans="1:104" ht="13" thickTop="1" x14ac:dyDescent="0.25">
      <c r="D101" s="1096"/>
    </row>
    <row r="102" spans="1:104" ht="13" thickBot="1" x14ac:dyDescent="0.3">
      <c r="D102" s="1096"/>
    </row>
    <row r="103" spans="1:104" s="1053" customFormat="1" ht="13" x14ac:dyDescent="0.3">
      <c r="A103" s="1049" t="s">
        <v>1159</v>
      </c>
      <c r="B103" s="1050"/>
      <c r="C103" s="1051"/>
      <c r="D103" s="1252"/>
      <c r="E103" s="1051"/>
      <c r="F103" s="1050"/>
      <c r="G103" s="1050"/>
      <c r="H103" s="1050"/>
      <c r="I103" s="1050"/>
      <c r="J103" s="1050"/>
      <c r="K103" s="1050"/>
      <c r="L103" s="1050"/>
      <c r="M103" s="1050"/>
      <c r="N103" s="1050"/>
      <c r="O103" s="1050"/>
      <c r="P103" s="1050"/>
      <c r="Q103" s="1050"/>
      <c r="R103" s="1050"/>
      <c r="S103" s="1050"/>
      <c r="T103" s="1050"/>
      <c r="U103" s="1050"/>
      <c r="V103" s="1050"/>
      <c r="W103" s="1050"/>
      <c r="X103" s="1050"/>
      <c r="Y103" s="1050"/>
      <c r="Z103" s="1050"/>
      <c r="AA103" s="1050"/>
      <c r="AB103" s="1050"/>
      <c r="AC103" s="1050"/>
      <c r="AD103" s="1050"/>
      <c r="AE103" s="1050"/>
      <c r="AF103" s="1050"/>
      <c r="AG103" s="1050"/>
      <c r="AH103" s="1050"/>
      <c r="AI103" s="1050"/>
      <c r="AJ103" s="1050"/>
      <c r="AK103" s="1050"/>
      <c r="AL103" s="1050"/>
      <c r="AM103" s="1050"/>
      <c r="AN103" s="1050"/>
      <c r="AO103" s="1050"/>
      <c r="AP103" s="1050"/>
      <c r="AQ103" s="1050"/>
      <c r="AR103" s="1050"/>
      <c r="AS103" s="1050"/>
      <c r="AT103" s="1050"/>
      <c r="AU103" s="1050"/>
      <c r="AV103" s="1050"/>
      <c r="AW103" s="1050"/>
      <c r="AX103" s="1050"/>
      <c r="AY103" s="1050"/>
      <c r="AZ103" s="1050"/>
      <c r="BA103" s="1050"/>
      <c r="BB103" s="1050"/>
      <c r="BC103" s="1050"/>
      <c r="BD103" s="1050"/>
      <c r="BE103" s="1050"/>
      <c r="BF103" s="1050"/>
      <c r="BG103" s="1050"/>
      <c r="BH103" s="1050"/>
      <c r="BI103" s="1050"/>
      <c r="BJ103" s="1050"/>
      <c r="BK103" s="1050"/>
      <c r="BL103" s="1050"/>
      <c r="BM103" s="1050"/>
      <c r="BN103" s="1050"/>
      <c r="BO103" s="1050"/>
      <c r="BP103" s="1050"/>
      <c r="BQ103" s="1050"/>
      <c r="BR103" s="1050"/>
      <c r="BS103" s="1050"/>
      <c r="BT103" s="1050"/>
      <c r="BU103" s="1050"/>
      <c r="BV103" s="1052"/>
    </row>
    <row r="104" spans="1:104" s="1053" customFormat="1" ht="13" x14ac:dyDescent="0.3">
      <c r="A104" s="1054" t="s">
        <v>1113</v>
      </c>
      <c r="B104" s="1055"/>
      <c r="C104" s="1056"/>
      <c r="D104" s="1253"/>
      <c r="E104" s="1056"/>
      <c r="F104" s="1055"/>
      <c r="G104" s="1055"/>
      <c r="H104" s="1055"/>
      <c r="I104" s="1055"/>
      <c r="J104" s="1055"/>
      <c r="K104" s="1055"/>
      <c r="L104" s="1055"/>
      <c r="M104" s="1055"/>
      <c r="N104" s="1055"/>
      <c r="O104" s="1055"/>
      <c r="P104" s="1055"/>
      <c r="Q104" s="1055"/>
      <c r="R104" s="1055"/>
      <c r="S104" s="1055"/>
      <c r="T104" s="1055"/>
      <c r="U104" s="1055"/>
      <c r="V104" s="1055"/>
      <c r="W104" s="1055"/>
      <c r="X104" s="1055"/>
      <c r="Y104" s="1055"/>
      <c r="Z104" s="1055"/>
      <c r="AA104" s="1055"/>
      <c r="AB104" s="1055"/>
      <c r="AC104" s="1055"/>
      <c r="AD104" s="1055"/>
      <c r="AE104" s="1055"/>
      <c r="AF104" s="1055"/>
      <c r="AG104" s="1055"/>
      <c r="AH104" s="1055"/>
      <c r="AI104" s="1055"/>
      <c r="AJ104" s="1055"/>
      <c r="AK104" s="1055"/>
      <c r="AL104" s="1055"/>
      <c r="AM104" s="1055"/>
      <c r="AN104" s="1055"/>
      <c r="AO104" s="1055"/>
      <c r="AP104" s="1055"/>
      <c r="AQ104" s="1055"/>
      <c r="AR104" s="1055"/>
      <c r="AS104" s="1055"/>
      <c r="AT104" s="1055"/>
      <c r="AU104" s="1055"/>
      <c r="AV104" s="1055"/>
      <c r="AW104" s="1055"/>
      <c r="AX104" s="1055"/>
      <c r="AY104" s="1055"/>
      <c r="AZ104" s="1055"/>
      <c r="BA104" s="1055"/>
      <c r="BB104" s="1055"/>
      <c r="BC104" s="1055"/>
      <c r="BD104" s="1055"/>
      <c r="BE104" s="1055"/>
      <c r="BF104" s="1055"/>
      <c r="BG104" s="1055"/>
      <c r="BH104" s="1055"/>
      <c r="BI104" s="1055"/>
      <c r="BJ104" s="1055"/>
      <c r="BK104" s="1055"/>
      <c r="BL104" s="1055"/>
      <c r="BM104" s="1055"/>
      <c r="BN104" s="1055"/>
      <c r="BO104" s="1055"/>
      <c r="BP104" s="1055"/>
      <c r="BQ104" s="1055"/>
      <c r="BR104" s="1055"/>
      <c r="BS104" s="1055"/>
      <c r="BT104" s="1055"/>
      <c r="BU104" s="1055"/>
      <c r="BV104" s="1057"/>
    </row>
    <row r="105" spans="1:104" s="1053" customFormat="1" x14ac:dyDescent="0.25">
      <c r="A105" s="1058"/>
      <c r="B105" s="1055"/>
      <c r="C105" s="1056"/>
      <c r="D105" s="1253"/>
      <c r="E105" s="1056"/>
      <c r="F105" s="1055"/>
      <c r="G105" s="1055"/>
      <c r="H105" s="1055"/>
      <c r="I105" s="1055"/>
      <c r="J105" s="1055"/>
      <c r="K105" s="1055"/>
      <c r="L105" s="1055"/>
      <c r="M105" s="1055"/>
      <c r="N105" s="1055"/>
      <c r="O105" s="1055"/>
      <c r="P105" s="1055"/>
      <c r="Q105" s="1055"/>
      <c r="R105" s="1055"/>
      <c r="S105" s="1055"/>
      <c r="T105" s="1055"/>
      <c r="U105" s="1055"/>
      <c r="V105" s="1055"/>
      <c r="W105" s="1055"/>
      <c r="X105" s="1055"/>
      <c r="Y105" s="1055"/>
      <c r="Z105" s="1055"/>
      <c r="AA105" s="1055"/>
      <c r="AB105" s="1055"/>
      <c r="AC105" s="1055"/>
      <c r="AD105" s="1055"/>
      <c r="AE105" s="1055"/>
      <c r="AF105" s="1055"/>
      <c r="AG105" s="1055"/>
      <c r="AH105" s="1055"/>
      <c r="AI105" s="1055"/>
      <c r="AJ105" s="1055"/>
      <c r="AK105" s="1055"/>
      <c r="AL105" s="1055"/>
      <c r="AM105" s="1055"/>
      <c r="AN105" s="1055"/>
      <c r="AO105" s="1055"/>
      <c r="AP105" s="1055"/>
      <c r="AQ105" s="1055"/>
      <c r="AR105" s="1055"/>
      <c r="AS105" s="1055"/>
      <c r="AT105" s="1055"/>
      <c r="AU105" s="1055"/>
      <c r="AV105" s="1055"/>
      <c r="AW105" s="1055"/>
      <c r="AX105" s="1055"/>
      <c r="AY105" s="1055"/>
      <c r="AZ105" s="1055"/>
      <c r="BA105" s="1055"/>
      <c r="BB105" s="1055"/>
      <c r="BC105" s="1055"/>
      <c r="BD105" s="1055"/>
      <c r="BE105" s="1055"/>
      <c r="BF105" s="1055"/>
      <c r="BG105" s="1055"/>
      <c r="BH105" s="1055"/>
      <c r="BI105" s="1055"/>
      <c r="BJ105" s="1055"/>
      <c r="BK105" s="1055"/>
      <c r="BL105" s="1055"/>
      <c r="BM105" s="1055"/>
      <c r="BN105" s="1055"/>
      <c r="BO105" s="1055"/>
      <c r="BP105" s="1055"/>
      <c r="BQ105" s="1055"/>
      <c r="BR105" s="1055"/>
      <c r="BS105" s="1055"/>
      <c r="BT105" s="1055"/>
      <c r="BU105" s="1055"/>
      <c r="BV105" s="1057"/>
    </row>
    <row r="106" spans="1:104" s="1053" customFormat="1" x14ac:dyDescent="0.25">
      <c r="A106" s="1058" t="s">
        <v>681</v>
      </c>
      <c r="B106" s="1055"/>
      <c r="C106" s="1056"/>
      <c r="D106" s="1253"/>
      <c r="E106" s="1056"/>
      <c r="F106" s="1055"/>
      <c r="G106" s="1055"/>
      <c r="H106" s="1055"/>
      <c r="I106" s="1055"/>
      <c r="J106" s="1055"/>
      <c r="K106" s="1055"/>
      <c r="L106" s="1055"/>
      <c r="M106" s="1055"/>
      <c r="N106" s="1055"/>
      <c r="O106" s="1059">
        <v>10.979644</v>
      </c>
      <c r="P106" s="1059">
        <v>10.458463</v>
      </c>
      <c r="Q106" s="1059">
        <v>10.386789</v>
      </c>
      <c r="R106" s="1059">
        <v>11.197535999999999</v>
      </c>
      <c r="S106" s="1059">
        <v>10.997512</v>
      </c>
      <c r="T106" s="1059">
        <v>10.684602</v>
      </c>
      <c r="U106" s="1059">
        <v>11.01057</v>
      </c>
      <c r="V106" s="1059">
        <v>11.455973999999999</v>
      </c>
      <c r="W106" s="1059">
        <v>11.627091999999999</v>
      </c>
      <c r="X106" s="1059">
        <v>11.591965</v>
      </c>
      <c r="Y106" s="1059">
        <v>11.804651</v>
      </c>
      <c r="Z106" s="1059">
        <v>11.896172</v>
      </c>
      <c r="AA106" s="1059">
        <v>12.056948999999999</v>
      </c>
      <c r="AB106" s="1059">
        <v>12.305148000000001</v>
      </c>
      <c r="AC106" s="1059">
        <v>12.475469</v>
      </c>
      <c r="AD106" s="1059">
        <v>12.579926</v>
      </c>
      <c r="AE106" s="1059">
        <v>12.716393999999999</v>
      </c>
      <c r="AF106" s="1059">
        <v>12.897914999999999</v>
      </c>
      <c r="AG106" s="1059">
        <v>13.184208999999999</v>
      </c>
      <c r="AH106" s="1059">
        <v>13.502886999999999</v>
      </c>
      <c r="AI106" s="1059">
        <v>13.64997</v>
      </c>
      <c r="AJ106" s="1059">
        <v>13.712135</v>
      </c>
      <c r="AK106" s="1059">
        <v>13.943460999999999</v>
      </c>
      <c r="AL106" s="1059">
        <v>14.339456999999999</v>
      </c>
      <c r="AM106" s="1059">
        <v>14.605688000000001</v>
      </c>
      <c r="AN106" s="1059">
        <v>14.994783</v>
      </c>
      <c r="AO106" s="1059">
        <v>15.152347000000001</v>
      </c>
      <c r="AP106" s="1059">
        <v>15.279963</v>
      </c>
      <c r="AQ106" s="1059">
        <v>15.618371</v>
      </c>
      <c r="AR106" s="1059">
        <v>15.977807</v>
      </c>
      <c r="AS106" s="1055"/>
      <c r="AT106" s="1055"/>
      <c r="AU106" s="1055"/>
      <c r="AV106" s="1055"/>
      <c r="AW106" s="1055"/>
      <c r="AX106" s="1055"/>
      <c r="AY106" s="1055"/>
      <c r="AZ106" s="1055"/>
      <c r="BA106" s="1055"/>
      <c r="BB106" s="1055"/>
      <c r="BC106" s="1055"/>
      <c r="BD106" s="1055"/>
      <c r="BE106" s="1055"/>
      <c r="BF106" s="1055"/>
      <c r="BG106" s="1055"/>
      <c r="BH106" s="1055"/>
      <c r="BI106" s="1055"/>
      <c r="BJ106" s="1055"/>
      <c r="BK106" s="1055"/>
      <c r="BL106" s="1055"/>
      <c r="BM106" s="1055"/>
      <c r="BN106" s="1055"/>
      <c r="BO106" s="1055"/>
      <c r="BP106" s="1055"/>
      <c r="BQ106" s="1055"/>
      <c r="BR106" s="1055"/>
      <c r="BS106" s="1055"/>
      <c r="BT106" s="1055"/>
      <c r="BU106" s="1055"/>
      <c r="BV106" s="1057"/>
    </row>
    <row r="107" spans="1:104" s="1053" customFormat="1" x14ac:dyDescent="0.25">
      <c r="A107" s="1058" t="s">
        <v>1085</v>
      </c>
      <c r="B107" s="1055"/>
      <c r="C107" s="1056"/>
      <c r="D107" s="1253"/>
      <c r="E107" s="1056"/>
      <c r="F107" s="1055"/>
      <c r="G107" s="1055"/>
      <c r="H107" s="1055"/>
      <c r="I107" s="1055"/>
      <c r="J107" s="1055"/>
      <c r="K107" s="1055"/>
      <c r="L107" s="1055"/>
      <c r="M107" s="1055"/>
      <c r="N107" s="1055"/>
      <c r="O107" s="1059">
        <v>8.9608349999999994</v>
      </c>
      <c r="P107" s="1059">
        <v>8.1128640000000001</v>
      </c>
      <c r="Q107" s="1059">
        <v>8.3120530000000006</v>
      </c>
      <c r="R107" s="1059">
        <v>9.0860579999999995</v>
      </c>
      <c r="S107" s="1059">
        <v>8.9185510000000008</v>
      </c>
      <c r="T107" s="1059">
        <v>8.7230709999999991</v>
      </c>
      <c r="U107" s="1059">
        <v>9.0072580000000002</v>
      </c>
      <c r="V107" s="1059">
        <v>9.4091780000000007</v>
      </c>
      <c r="W107" s="1059">
        <v>9.5464699999999993</v>
      </c>
      <c r="X107" s="1059">
        <v>9.490774</v>
      </c>
      <c r="Y107" s="1059">
        <v>9.6849690000000006</v>
      </c>
      <c r="Z107" s="1059">
        <v>9.7584820000000008</v>
      </c>
      <c r="AA107" s="1059">
        <v>9.8987529999999992</v>
      </c>
      <c r="AB107" s="1059">
        <v>10.127039999999999</v>
      </c>
      <c r="AC107" s="1059">
        <v>10.286922000000001</v>
      </c>
      <c r="AD107" s="1059">
        <v>10.380953999999999</v>
      </c>
      <c r="AE107" s="1059">
        <v>10.496881999999999</v>
      </c>
      <c r="AF107" s="1059">
        <v>10.657225</v>
      </c>
      <c r="AG107" s="1059">
        <v>10.911016</v>
      </c>
      <c r="AH107" s="1059">
        <v>11.192325</v>
      </c>
      <c r="AI107" s="1059">
        <v>11.294316</v>
      </c>
      <c r="AJ107" s="1059">
        <v>11.292712999999999</v>
      </c>
      <c r="AK107" s="1059">
        <v>11.478382999999999</v>
      </c>
      <c r="AL107" s="1059">
        <v>11.747921</v>
      </c>
      <c r="AM107" s="1059">
        <v>11.953430000000001</v>
      </c>
      <c r="AN107" s="1059">
        <v>12.263629999999999</v>
      </c>
      <c r="AO107" s="1059">
        <v>12.368285999999999</v>
      </c>
      <c r="AP107" s="1059">
        <v>12.459205000000001</v>
      </c>
      <c r="AQ107" s="1059">
        <v>12.755896</v>
      </c>
      <c r="AR107" s="1059">
        <v>13.077387</v>
      </c>
      <c r="AS107" s="1055"/>
      <c r="AT107" s="1055"/>
      <c r="AU107" s="1055"/>
      <c r="AV107" s="1055"/>
      <c r="AW107" s="1055"/>
      <c r="AX107" s="1055"/>
      <c r="AY107" s="1055"/>
      <c r="AZ107" s="1055"/>
      <c r="BA107" s="1055"/>
      <c r="BB107" s="1055"/>
      <c r="BC107" s="1055"/>
      <c r="BD107" s="1055"/>
      <c r="BE107" s="1055"/>
      <c r="BF107" s="1055"/>
      <c r="BG107" s="1055"/>
      <c r="BH107" s="1055"/>
      <c r="BI107" s="1055"/>
      <c r="BJ107" s="1055"/>
      <c r="BK107" s="1055"/>
      <c r="BL107" s="1055"/>
      <c r="BM107" s="1055"/>
      <c r="BN107" s="1055"/>
      <c r="BO107" s="1055"/>
      <c r="BP107" s="1055"/>
      <c r="BQ107" s="1055"/>
      <c r="BR107" s="1055"/>
      <c r="BS107" s="1055"/>
      <c r="BT107" s="1055"/>
      <c r="BU107" s="1055"/>
      <c r="BV107" s="1057"/>
    </row>
    <row r="108" spans="1:104" s="1053" customFormat="1" x14ac:dyDescent="0.25">
      <c r="A108" s="1058" t="s">
        <v>283</v>
      </c>
      <c r="B108" s="1055"/>
      <c r="C108" s="1056"/>
      <c r="D108" s="1253"/>
      <c r="E108" s="1056"/>
      <c r="F108" s="1055"/>
      <c r="G108" s="1055"/>
      <c r="H108" s="1055"/>
      <c r="I108" s="1055"/>
      <c r="J108" s="1055"/>
      <c r="K108" s="1055"/>
      <c r="L108" s="1055"/>
      <c r="M108" s="1055"/>
      <c r="N108" s="1055"/>
      <c r="O108" s="1059">
        <v>5.093718</v>
      </c>
      <c r="P108" s="1059">
        <v>3.77142</v>
      </c>
      <c r="Q108" s="1059">
        <v>4.594805</v>
      </c>
      <c r="R108" s="1059">
        <v>4.7995720000000004</v>
      </c>
      <c r="S108" s="1059">
        <v>4.9392990000000001</v>
      </c>
      <c r="T108" s="1059">
        <v>5.148549</v>
      </c>
      <c r="U108" s="1059">
        <v>5.425808</v>
      </c>
      <c r="V108" s="1059">
        <v>5.8458810000000003</v>
      </c>
      <c r="W108" s="1059">
        <v>5.9476060000000004</v>
      </c>
      <c r="X108" s="1059">
        <v>5.7923239999999998</v>
      </c>
      <c r="Y108" s="1059">
        <v>5.9347989999999999</v>
      </c>
      <c r="Z108" s="1059">
        <v>5.9545320000000004</v>
      </c>
      <c r="AA108" s="1059">
        <v>6.0522600000000004</v>
      </c>
      <c r="AB108" s="1059">
        <v>6.2273719999999999</v>
      </c>
      <c r="AC108" s="1059">
        <v>6.3209530000000003</v>
      </c>
      <c r="AD108" s="1059">
        <v>6.356109</v>
      </c>
      <c r="AE108" s="1059">
        <v>6.4293370000000003</v>
      </c>
      <c r="AF108" s="1059">
        <v>6.531498</v>
      </c>
      <c r="AG108" s="1059">
        <v>6.7357209999999998</v>
      </c>
      <c r="AH108" s="1059">
        <v>6.9891050000000003</v>
      </c>
      <c r="AI108" s="1059">
        <v>7.1038509999999997</v>
      </c>
      <c r="AJ108" s="1059">
        <v>7.224164</v>
      </c>
      <c r="AK108" s="1059">
        <v>7.420331</v>
      </c>
      <c r="AL108" s="1059">
        <v>7.5726420000000001</v>
      </c>
      <c r="AM108" s="1059">
        <v>7.7575940000000001</v>
      </c>
      <c r="AN108" s="1059">
        <v>8.0432100000000002</v>
      </c>
      <c r="AO108" s="1059">
        <v>8.0942129999999999</v>
      </c>
      <c r="AP108" s="1059">
        <v>8.1302479999999999</v>
      </c>
      <c r="AQ108" s="1059">
        <v>8.3372609999999998</v>
      </c>
      <c r="AR108" s="1059">
        <v>8.5934050000000006</v>
      </c>
      <c r="AS108" s="1055"/>
      <c r="AT108" s="1055"/>
      <c r="AU108" s="1055"/>
      <c r="AV108" s="1055"/>
      <c r="AW108" s="1055"/>
      <c r="AX108" s="1055"/>
      <c r="AY108" s="1055"/>
      <c r="AZ108" s="1055"/>
      <c r="BA108" s="1055"/>
      <c r="BB108" s="1055"/>
      <c r="BC108" s="1055"/>
      <c r="BD108" s="1055"/>
      <c r="BE108" s="1055"/>
      <c r="BF108" s="1055"/>
      <c r="BG108" s="1055"/>
      <c r="BH108" s="1055"/>
      <c r="BI108" s="1055"/>
      <c r="BJ108" s="1055"/>
      <c r="BK108" s="1055"/>
      <c r="BL108" s="1055"/>
      <c r="BM108" s="1055"/>
      <c r="BN108" s="1055"/>
      <c r="BO108" s="1055"/>
      <c r="BP108" s="1055"/>
      <c r="BQ108" s="1055"/>
      <c r="BR108" s="1055"/>
      <c r="BS108" s="1055"/>
      <c r="BT108" s="1055"/>
      <c r="BU108" s="1055"/>
      <c r="BV108" s="1057"/>
    </row>
    <row r="109" spans="1:104" s="1053" customFormat="1" x14ac:dyDescent="0.25">
      <c r="A109" s="1060" t="str">
        <f>'HyARC Physical Property Data'!$A$74</f>
        <v>Electric Utility Natural Gas</v>
      </c>
      <c r="B109" s="1055"/>
      <c r="C109" s="1056"/>
      <c r="D109" s="1253"/>
      <c r="E109" s="1056"/>
      <c r="F109" s="1055"/>
      <c r="G109" s="1055"/>
      <c r="H109" s="1055"/>
      <c r="I109" s="1055"/>
      <c r="J109" s="1055"/>
      <c r="K109" s="1055"/>
      <c r="L109" s="1055"/>
      <c r="M109" s="1055"/>
      <c r="N109" s="1055"/>
      <c r="O109" s="1059">
        <v>4.881901</v>
      </c>
      <c r="P109" s="1059">
        <v>3.4378730000000002</v>
      </c>
      <c r="Q109" s="1059">
        <v>4.3206319999999998</v>
      </c>
      <c r="R109" s="1059">
        <v>4.4694140000000004</v>
      </c>
      <c r="S109" s="1059">
        <v>4.4284980000000003</v>
      </c>
      <c r="T109" s="1059">
        <v>4.4748020000000004</v>
      </c>
      <c r="U109" s="1059">
        <v>4.6905669999999997</v>
      </c>
      <c r="V109" s="1059">
        <v>5.0621029999999996</v>
      </c>
      <c r="W109" s="1059">
        <v>5.1794200000000004</v>
      </c>
      <c r="X109" s="1059">
        <v>5.0744109999999996</v>
      </c>
      <c r="Y109" s="1059">
        <v>5.242337</v>
      </c>
      <c r="Z109" s="1059">
        <v>5.2943420000000003</v>
      </c>
      <c r="AA109" s="1059">
        <v>5.4200609999999996</v>
      </c>
      <c r="AB109" s="1059">
        <v>5.622217</v>
      </c>
      <c r="AC109" s="1059">
        <v>5.7577170000000004</v>
      </c>
      <c r="AD109" s="1059">
        <v>5.8140010000000002</v>
      </c>
      <c r="AE109" s="1059">
        <v>5.9051999999999998</v>
      </c>
      <c r="AF109" s="1059">
        <v>6.0276690000000004</v>
      </c>
      <c r="AG109" s="1059">
        <v>6.2437040000000001</v>
      </c>
      <c r="AH109" s="1059">
        <v>6.4934279999999998</v>
      </c>
      <c r="AI109" s="1059">
        <v>6.6170710000000001</v>
      </c>
      <c r="AJ109" s="1059">
        <v>6.726566</v>
      </c>
      <c r="AK109" s="1059">
        <v>6.9305599999999998</v>
      </c>
      <c r="AL109" s="1059">
        <v>7.0909170000000001</v>
      </c>
      <c r="AM109" s="1059">
        <v>7.286816</v>
      </c>
      <c r="AN109" s="1059">
        <v>7.5708000000000002</v>
      </c>
      <c r="AO109" s="1059">
        <v>7.630439</v>
      </c>
      <c r="AP109" s="1059">
        <v>7.6782940000000002</v>
      </c>
      <c r="AQ109" s="1059">
        <v>7.8974500000000001</v>
      </c>
      <c r="AR109" s="1059">
        <v>8.1587669999999992</v>
      </c>
      <c r="AS109" s="1055"/>
      <c r="AT109" s="1055"/>
      <c r="AU109" s="1055"/>
      <c r="AV109" s="1055"/>
      <c r="AW109" s="1055"/>
      <c r="AX109" s="1055"/>
      <c r="AY109" s="1055"/>
      <c r="AZ109" s="1055"/>
      <c r="BA109" s="1055"/>
      <c r="BB109" s="1055"/>
      <c r="BC109" s="1055"/>
      <c r="BD109" s="1055"/>
      <c r="BE109" s="1055"/>
      <c r="BF109" s="1055"/>
      <c r="BG109" s="1055"/>
      <c r="BH109" s="1055"/>
      <c r="BI109" s="1055"/>
      <c r="BJ109" s="1055"/>
      <c r="BK109" s="1055"/>
      <c r="BL109" s="1055"/>
      <c r="BM109" s="1055"/>
      <c r="BN109" s="1055"/>
      <c r="BO109" s="1055"/>
      <c r="BP109" s="1055"/>
      <c r="BQ109" s="1055"/>
      <c r="BR109" s="1055"/>
      <c r="BS109" s="1055"/>
      <c r="BT109" s="1055"/>
      <c r="BU109" s="1055"/>
      <c r="BV109" s="1057"/>
    </row>
    <row r="110" spans="1:104" s="1053" customFormat="1" x14ac:dyDescent="0.25">
      <c r="A110" s="1055" t="s">
        <v>1081</v>
      </c>
      <c r="B110" s="1055"/>
      <c r="C110" s="1056"/>
      <c r="D110" s="1253"/>
      <c r="E110" s="1056"/>
      <c r="F110" s="1055"/>
      <c r="G110" s="1055"/>
      <c r="H110" s="1055"/>
      <c r="I110" s="1055"/>
      <c r="J110" s="1055"/>
      <c r="K110" s="1055"/>
      <c r="L110" s="1055"/>
      <c r="M110" s="1055"/>
      <c r="N110" s="1055"/>
      <c r="O110" s="1059"/>
      <c r="P110" s="1059"/>
      <c r="Q110" s="1059"/>
      <c r="R110" s="1059"/>
      <c r="S110" s="1059"/>
      <c r="T110" s="1059"/>
      <c r="U110" s="1059"/>
      <c r="V110" s="1059"/>
      <c r="W110" s="1059"/>
      <c r="X110" s="1059"/>
      <c r="Y110" s="1059"/>
      <c r="Z110" s="1059"/>
      <c r="AA110" s="1059"/>
      <c r="AB110" s="1059"/>
      <c r="AC110" s="1059"/>
      <c r="AD110" s="1059"/>
      <c r="AE110" s="1059"/>
      <c r="AF110" s="1059"/>
      <c r="AG110" s="1059"/>
      <c r="AH110" s="1059"/>
      <c r="AI110" s="1059"/>
      <c r="AJ110" s="1059"/>
      <c r="AK110" s="1059"/>
      <c r="AL110" s="1059"/>
      <c r="AM110" s="1059"/>
      <c r="AN110" s="1059"/>
      <c r="AO110" s="1059"/>
      <c r="AP110" s="1059"/>
      <c r="AQ110" s="1059"/>
      <c r="AR110" s="1059"/>
      <c r="AS110" s="1055"/>
      <c r="AT110" s="1055"/>
      <c r="AU110" s="1055"/>
      <c r="AV110" s="1055"/>
      <c r="AW110" s="1055"/>
      <c r="AX110" s="1055"/>
      <c r="AY110" s="1055"/>
      <c r="AZ110" s="1055"/>
      <c r="BA110" s="1055"/>
      <c r="BB110" s="1055"/>
      <c r="BC110" s="1055"/>
      <c r="BD110" s="1055"/>
      <c r="BE110" s="1055"/>
      <c r="BF110" s="1055"/>
      <c r="BG110" s="1055"/>
      <c r="BH110" s="1055"/>
      <c r="BI110" s="1055"/>
      <c r="BJ110" s="1055"/>
      <c r="BK110" s="1055"/>
      <c r="BL110" s="1055"/>
      <c r="BM110" s="1055"/>
      <c r="BN110" s="1055"/>
      <c r="BO110" s="1055"/>
      <c r="BP110" s="1055"/>
      <c r="BQ110" s="1055"/>
      <c r="BR110" s="1055"/>
      <c r="BS110" s="1055"/>
      <c r="BT110" s="1055"/>
      <c r="BU110" s="1055"/>
      <c r="BV110" s="1057"/>
    </row>
    <row r="111" spans="1:104" s="1053" customFormat="1" x14ac:dyDescent="0.25">
      <c r="A111" s="1075" t="s">
        <v>716</v>
      </c>
      <c r="B111" s="1055"/>
      <c r="C111" s="1056"/>
      <c r="D111" s="1253"/>
      <c r="E111" s="1056"/>
      <c r="F111" s="1055"/>
      <c r="G111" s="1055"/>
      <c r="H111" s="1055"/>
      <c r="I111" s="1055"/>
      <c r="J111" s="1055"/>
      <c r="K111" s="1055"/>
      <c r="L111" s="1055"/>
      <c r="M111" s="1055"/>
      <c r="N111" s="1055"/>
      <c r="O111" s="1059">
        <v>7.1348120000000002</v>
      </c>
      <c r="P111" s="1059">
        <v>7.25</v>
      </c>
      <c r="Q111" s="1059">
        <v>7.4339180000000002</v>
      </c>
      <c r="R111" s="1059">
        <v>7.5123340000000001</v>
      </c>
      <c r="S111" s="1059">
        <v>7.7593930000000002</v>
      </c>
      <c r="T111" s="1059">
        <v>7.9480709999999997</v>
      </c>
      <c r="U111" s="1059">
        <v>8.0483750000000001</v>
      </c>
      <c r="V111" s="1059">
        <v>8.1909299999999998</v>
      </c>
      <c r="W111" s="1059">
        <v>8.3009920000000008</v>
      </c>
      <c r="X111" s="1059">
        <v>8.4282590000000006</v>
      </c>
      <c r="Y111" s="1059">
        <v>8.5261879999999994</v>
      </c>
      <c r="Z111" s="1059">
        <v>8.6333680000000008</v>
      </c>
      <c r="AA111" s="1059">
        <v>8.7384330000000006</v>
      </c>
      <c r="AB111" s="1059">
        <v>8.8454820000000005</v>
      </c>
      <c r="AC111" s="1059">
        <v>8.9517559999999996</v>
      </c>
      <c r="AD111" s="1059">
        <v>9.0441529999999997</v>
      </c>
      <c r="AE111" s="1059">
        <v>9.1489940000000001</v>
      </c>
      <c r="AF111" s="1059">
        <v>9.2665970000000009</v>
      </c>
      <c r="AG111" s="1059">
        <v>9.3802029999999998</v>
      </c>
      <c r="AH111" s="1059">
        <v>9.5131180000000004</v>
      </c>
      <c r="AI111" s="1059">
        <v>9.5927720000000001</v>
      </c>
      <c r="AJ111" s="1059">
        <v>9.6736090000000008</v>
      </c>
      <c r="AK111" s="1059">
        <v>9.7592280000000002</v>
      </c>
      <c r="AL111" s="1059">
        <v>9.8373989999999996</v>
      </c>
      <c r="AM111" s="1059">
        <v>9.9349030000000003</v>
      </c>
      <c r="AN111" s="1059">
        <v>10.012817</v>
      </c>
      <c r="AO111" s="1059">
        <v>10.10066</v>
      </c>
      <c r="AP111" s="1059">
        <v>10.107113</v>
      </c>
      <c r="AQ111" s="1059">
        <v>10.135842</v>
      </c>
      <c r="AR111" s="1059">
        <v>10.197044999999999</v>
      </c>
      <c r="AS111" s="1055"/>
      <c r="AT111" s="1055"/>
      <c r="AU111" s="1055"/>
      <c r="AV111" s="1055"/>
      <c r="AW111" s="1055"/>
      <c r="AX111" s="1055"/>
      <c r="AY111" s="1055"/>
      <c r="AZ111" s="1055"/>
      <c r="BA111" s="1055"/>
      <c r="BB111" s="1055"/>
      <c r="BC111" s="1055"/>
      <c r="BD111" s="1055"/>
      <c r="BE111" s="1055"/>
      <c r="BF111" s="1055"/>
      <c r="BG111" s="1055"/>
      <c r="BH111" s="1055"/>
      <c r="BI111" s="1055"/>
      <c r="BJ111" s="1055"/>
      <c r="BK111" s="1055"/>
      <c r="BL111" s="1055"/>
      <c r="BM111" s="1055"/>
      <c r="BN111" s="1055"/>
      <c r="BO111" s="1055"/>
      <c r="BP111" s="1055"/>
      <c r="BQ111" s="1055"/>
      <c r="BR111" s="1055"/>
      <c r="BS111" s="1055"/>
      <c r="BT111" s="1055"/>
      <c r="BU111" s="1055"/>
      <c r="BV111" s="1057"/>
    </row>
    <row r="112" spans="1:104" s="1053" customFormat="1" x14ac:dyDescent="0.25">
      <c r="A112" s="1075" t="s">
        <v>717</v>
      </c>
      <c r="B112" s="1055"/>
      <c r="C112" s="1056"/>
      <c r="D112" s="1253"/>
      <c r="E112" s="1056"/>
      <c r="F112" s="1055"/>
      <c r="G112" s="1055"/>
      <c r="H112" s="1055"/>
      <c r="I112" s="1055"/>
      <c r="J112" s="1055"/>
      <c r="K112" s="1055"/>
      <c r="L112" s="1055"/>
      <c r="M112" s="1055"/>
      <c r="N112" s="1055"/>
      <c r="O112" s="1059">
        <v>3.3073760000000001</v>
      </c>
      <c r="P112" s="1059">
        <v>3.2396150000000001</v>
      </c>
      <c r="Q112" s="1059">
        <v>3.3150900000000001</v>
      </c>
      <c r="R112" s="1059">
        <v>3.2817340000000002</v>
      </c>
      <c r="S112" s="1059">
        <v>3.3761420000000002</v>
      </c>
      <c r="T112" s="1059">
        <v>3.437208</v>
      </c>
      <c r="U112" s="1059">
        <v>3.4609869999999998</v>
      </c>
      <c r="V112" s="1059">
        <v>3.5206819999999999</v>
      </c>
      <c r="W112" s="1059">
        <v>3.5610849999999998</v>
      </c>
      <c r="X112" s="1059">
        <v>3.5932520000000001</v>
      </c>
      <c r="Y112" s="1059">
        <v>3.6143869999999998</v>
      </c>
      <c r="Z112" s="1059">
        <v>3.6395840000000002</v>
      </c>
      <c r="AA112" s="1059">
        <v>3.6651829999999999</v>
      </c>
      <c r="AB112" s="1059">
        <v>3.697009</v>
      </c>
      <c r="AC112" s="1059">
        <v>3.7274949999999998</v>
      </c>
      <c r="AD112" s="1059">
        <v>3.7560980000000002</v>
      </c>
      <c r="AE112" s="1059">
        <v>3.7847550000000001</v>
      </c>
      <c r="AF112" s="1059">
        <v>3.8163930000000001</v>
      </c>
      <c r="AG112" s="1059">
        <v>3.8450039999999999</v>
      </c>
      <c r="AH112" s="1059">
        <v>3.8844850000000002</v>
      </c>
      <c r="AI112" s="1059">
        <v>3.9155440000000001</v>
      </c>
      <c r="AJ112" s="1059">
        <v>3.944798</v>
      </c>
      <c r="AK112" s="1059">
        <v>3.9761479999999998</v>
      </c>
      <c r="AL112" s="1059">
        <v>4.0004489999999997</v>
      </c>
      <c r="AM112" s="1059">
        <v>4.0294249999999998</v>
      </c>
      <c r="AN112" s="1059">
        <v>4.0600360000000002</v>
      </c>
      <c r="AO112" s="1059">
        <v>4.0903939999999999</v>
      </c>
      <c r="AP112" s="1059">
        <v>4.1171660000000001</v>
      </c>
      <c r="AQ112" s="1059">
        <v>4.1493070000000003</v>
      </c>
      <c r="AR112" s="1059">
        <v>4.1898999999999997</v>
      </c>
      <c r="AS112" s="1055"/>
      <c r="AT112" s="1055"/>
      <c r="AU112" s="1055"/>
      <c r="AV112" s="1055"/>
      <c r="AW112" s="1055"/>
      <c r="AX112" s="1055"/>
      <c r="AY112" s="1055"/>
      <c r="AZ112" s="1055"/>
      <c r="BA112" s="1055"/>
      <c r="BB112" s="1055"/>
      <c r="BC112" s="1055"/>
      <c r="BD112" s="1055"/>
      <c r="BE112" s="1055"/>
      <c r="BF112" s="1055"/>
      <c r="BG112" s="1055"/>
      <c r="BH112" s="1055"/>
      <c r="BI112" s="1055"/>
      <c r="BJ112" s="1055"/>
      <c r="BK112" s="1055"/>
      <c r="BL112" s="1055"/>
      <c r="BM112" s="1055"/>
      <c r="BN112" s="1055"/>
      <c r="BO112" s="1055"/>
      <c r="BP112" s="1055"/>
      <c r="BQ112" s="1055"/>
      <c r="BR112" s="1055"/>
      <c r="BS112" s="1055"/>
      <c r="BT112" s="1055"/>
      <c r="BU112" s="1055"/>
      <c r="BV112" s="1057"/>
    </row>
    <row r="113" spans="1:74" s="1053" customFormat="1" x14ac:dyDescent="0.25">
      <c r="A113" s="1058" t="s">
        <v>1087</v>
      </c>
      <c r="B113" s="1055"/>
      <c r="C113" s="1056"/>
      <c r="D113" s="1253"/>
      <c r="E113" s="1056"/>
      <c r="F113" s="1055"/>
      <c r="G113" s="1055"/>
      <c r="H113" s="1055"/>
      <c r="I113" s="1055"/>
      <c r="J113" s="1055"/>
      <c r="K113" s="1055"/>
      <c r="L113" s="1055"/>
      <c r="M113" s="1055"/>
      <c r="N113" s="1055"/>
      <c r="O113" s="1059">
        <v>2.4223750000000002</v>
      </c>
      <c r="P113" s="1059">
        <v>2.39</v>
      </c>
      <c r="Q113" s="1059">
        <v>2.37385</v>
      </c>
      <c r="R113" s="1059">
        <v>2.329834</v>
      </c>
      <c r="S113" s="1059">
        <v>2.4039359999999999</v>
      </c>
      <c r="T113" s="1059">
        <v>2.422212</v>
      </c>
      <c r="U113" s="1059">
        <v>2.4863749999999998</v>
      </c>
      <c r="V113" s="1059">
        <v>2.5503130000000001</v>
      </c>
      <c r="W113" s="1059">
        <v>2.589102</v>
      </c>
      <c r="X113" s="1059">
        <v>2.6113439999999999</v>
      </c>
      <c r="Y113" s="1059">
        <v>2.6429999999999998</v>
      </c>
      <c r="Z113" s="1059">
        <v>2.675691</v>
      </c>
      <c r="AA113" s="1059">
        <v>2.7024710000000001</v>
      </c>
      <c r="AB113" s="1059">
        <v>2.7390279999999998</v>
      </c>
      <c r="AC113" s="1059">
        <v>2.7738589999999999</v>
      </c>
      <c r="AD113" s="1059">
        <v>2.807261</v>
      </c>
      <c r="AE113" s="1059">
        <v>2.8368190000000002</v>
      </c>
      <c r="AF113" s="1059">
        <v>2.8649870000000002</v>
      </c>
      <c r="AG113" s="1059">
        <v>2.8913859999999998</v>
      </c>
      <c r="AH113" s="1059">
        <v>2.9256030000000002</v>
      </c>
      <c r="AI113" s="1059">
        <v>2.9494180000000001</v>
      </c>
      <c r="AJ113" s="1059">
        <v>2.9743849999999998</v>
      </c>
      <c r="AK113" s="1059">
        <v>3.0006210000000002</v>
      </c>
      <c r="AL113" s="1059">
        <v>3.0244930000000001</v>
      </c>
      <c r="AM113" s="1059">
        <v>3.050074</v>
      </c>
      <c r="AN113" s="1059">
        <v>3.076149</v>
      </c>
      <c r="AO113" s="1059">
        <v>3.099027</v>
      </c>
      <c r="AP113" s="1059">
        <v>3.1208209999999998</v>
      </c>
      <c r="AQ113" s="1059">
        <v>3.153797</v>
      </c>
      <c r="AR113" s="1059">
        <v>3.1896749999999998</v>
      </c>
      <c r="AS113" s="1055"/>
      <c r="AT113" s="1055"/>
      <c r="AU113" s="1055"/>
      <c r="AV113" s="1055"/>
      <c r="AW113" s="1055"/>
      <c r="AX113" s="1055"/>
      <c r="AY113" s="1055"/>
      <c r="AZ113" s="1055"/>
      <c r="BA113" s="1055"/>
      <c r="BB113" s="1055"/>
      <c r="BC113" s="1055"/>
      <c r="BD113" s="1055"/>
      <c r="BE113" s="1055"/>
      <c r="BF113" s="1055"/>
      <c r="BG113" s="1055"/>
      <c r="BH113" s="1055"/>
      <c r="BI113" s="1055"/>
      <c r="BJ113" s="1055"/>
      <c r="BK113" s="1055"/>
      <c r="BL113" s="1055"/>
      <c r="BM113" s="1055"/>
      <c r="BN113" s="1055"/>
      <c r="BO113" s="1055"/>
      <c r="BP113" s="1055"/>
      <c r="BQ113" s="1055"/>
      <c r="BR113" s="1055"/>
      <c r="BS113" s="1055"/>
      <c r="BT113" s="1055"/>
      <c r="BU113" s="1055"/>
      <c r="BV113" s="1057"/>
    </row>
    <row r="114" spans="1:74" s="1053" customFormat="1" x14ac:dyDescent="0.25">
      <c r="A114" s="1058" t="s">
        <v>683</v>
      </c>
      <c r="B114" s="1055"/>
      <c r="C114" s="1056"/>
      <c r="D114" s="1253"/>
      <c r="E114" s="1056"/>
      <c r="F114" s="1055"/>
      <c r="G114" s="1055"/>
      <c r="H114" s="1055"/>
      <c r="I114" s="1055"/>
      <c r="J114" s="1055"/>
      <c r="K114" s="1055"/>
      <c r="L114" s="1055"/>
      <c r="M114" s="1055"/>
      <c r="N114" s="1055"/>
      <c r="O114" s="1059">
        <v>30.531154999999998</v>
      </c>
      <c r="P114" s="1059">
        <v>29.553346999999999</v>
      </c>
      <c r="Q114" s="1059">
        <v>29.462689999999998</v>
      </c>
      <c r="R114" s="1059">
        <v>29.619807999999999</v>
      </c>
      <c r="S114" s="1059">
        <v>29.992000999999998</v>
      </c>
      <c r="T114" s="1059">
        <v>30.137812</v>
      </c>
      <c r="U114" s="1059">
        <v>30.368880999999998</v>
      </c>
      <c r="V114" s="1059">
        <v>30.723389000000001</v>
      </c>
      <c r="W114" s="1059">
        <v>31.014326000000001</v>
      </c>
      <c r="X114" s="1059">
        <v>30.799534000000001</v>
      </c>
      <c r="Y114" s="1059">
        <v>30.631943</v>
      </c>
      <c r="Z114" s="1059">
        <v>30.294862999999999</v>
      </c>
      <c r="AA114" s="1059">
        <v>30.159492</v>
      </c>
      <c r="AB114" s="1059">
        <v>30.497467</v>
      </c>
      <c r="AC114" s="1059">
        <v>30.549484</v>
      </c>
      <c r="AD114" s="1059">
        <v>30.628119000000002</v>
      </c>
      <c r="AE114" s="1059">
        <v>30.831617000000001</v>
      </c>
      <c r="AF114" s="1059">
        <v>30.906943999999999</v>
      </c>
      <c r="AG114" s="1059">
        <v>31.016119</v>
      </c>
      <c r="AH114" s="1059">
        <v>31.259630000000001</v>
      </c>
      <c r="AI114" s="1059">
        <v>31.506346000000001</v>
      </c>
      <c r="AJ114" s="1059">
        <v>31.548763000000001</v>
      </c>
      <c r="AK114" s="1059">
        <v>31.537307999999999</v>
      </c>
      <c r="AL114" s="1059">
        <v>31.727125000000001</v>
      </c>
      <c r="AM114" s="1059">
        <v>31.983875000000001</v>
      </c>
      <c r="AN114" s="1059">
        <v>32.252009999999999</v>
      </c>
      <c r="AO114" s="1059">
        <v>32.456364000000001</v>
      </c>
      <c r="AP114" s="1059">
        <v>32.526015999999998</v>
      </c>
      <c r="AQ114" s="1059">
        <v>32.747635000000002</v>
      </c>
      <c r="AR114" s="1059">
        <v>33.007354999999997</v>
      </c>
      <c r="AS114" s="1055"/>
      <c r="AT114" s="1055"/>
      <c r="AU114" s="1055"/>
      <c r="AV114" s="1055"/>
      <c r="AW114" s="1055"/>
      <c r="AX114" s="1055"/>
      <c r="AY114" s="1055"/>
      <c r="AZ114" s="1055"/>
      <c r="BA114" s="1055"/>
      <c r="BB114" s="1055"/>
      <c r="BC114" s="1055"/>
      <c r="BD114" s="1055"/>
      <c r="BE114" s="1055"/>
      <c r="BF114" s="1055"/>
      <c r="BG114" s="1055"/>
      <c r="BH114" s="1055"/>
      <c r="BI114" s="1055"/>
      <c r="BJ114" s="1055"/>
      <c r="BK114" s="1055"/>
      <c r="BL114" s="1055"/>
      <c r="BM114" s="1055"/>
      <c r="BN114" s="1055"/>
      <c r="BO114" s="1055"/>
      <c r="BP114" s="1055"/>
      <c r="BQ114" s="1055"/>
      <c r="BR114" s="1055"/>
      <c r="BS114" s="1055"/>
      <c r="BT114" s="1055"/>
      <c r="BU114" s="1055"/>
      <c r="BV114" s="1057"/>
    </row>
    <row r="115" spans="1:74" s="1053" customFormat="1" x14ac:dyDescent="0.25">
      <c r="A115" s="1058" t="s">
        <v>698</v>
      </c>
      <c r="B115" s="1055"/>
      <c r="C115" s="1056"/>
      <c r="D115" s="1253"/>
      <c r="E115" s="1056"/>
      <c r="F115" s="1055"/>
      <c r="G115" s="1055"/>
      <c r="H115" s="1055"/>
      <c r="I115" s="1055"/>
      <c r="J115" s="1055"/>
      <c r="K115" s="1055"/>
      <c r="L115" s="1055"/>
      <c r="M115" s="1055"/>
      <c r="N115" s="1055"/>
      <c r="O115" s="1059">
        <v>20.348036</v>
      </c>
      <c r="P115" s="1059">
        <v>19.495602000000002</v>
      </c>
      <c r="Q115" s="1059">
        <v>20.081951</v>
      </c>
      <c r="R115" s="1059">
        <v>19.872589000000001</v>
      </c>
      <c r="S115" s="1059">
        <v>20.106300000000001</v>
      </c>
      <c r="T115" s="1059">
        <v>20.110336</v>
      </c>
      <c r="U115" s="1059">
        <v>20.286434</v>
      </c>
      <c r="V115" s="1059">
        <v>20.591933999999998</v>
      </c>
      <c r="W115" s="1059">
        <v>20.859487999999999</v>
      </c>
      <c r="X115" s="1059">
        <v>20.769625000000001</v>
      </c>
      <c r="Y115" s="1059">
        <v>20.751276000000001</v>
      </c>
      <c r="Z115" s="1059">
        <v>20.654140000000002</v>
      </c>
      <c r="AA115" s="1059">
        <v>20.663025000000001</v>
      </c>
      <c r="AB115" s="1059">
        <v>20.946209</v>
      </c>
      <c r="AC115" s="1059">
        <v>21.079236999999999</v>
      </c>
      <c r="AD115" s="1059">
        <v>21.236912</v>
      </c>
      <c r="AE115" s="1059">
        <v>21.461658</v>
      </c>
      <c r="AF115" s="1059">
        <v>21.586451</v>
      </c>
      <c r="AG115" s="1059">
        <v>21.737777999999999</v>
      </c>
      <c r="AH115" s="1059">
        <v>21.988303999999999</v>
      </c>
      <c r="AI115" s="1059">
        <v>22.237325999999999</v>
      </c>
      <c r="AJ115" s="1059">
        <v>22.342414999999999</v>
      </c>
      <c r="AK115" s="1059">
        <v>22.437189</v>
      </c>
      <c r="AL115" s="1059">
        <v>22.654578999999998</v>
      </c>
      <c r="AM115" s="1059">
        <v>22.911854000000002</v>
      </c>
      <c r="AN115" s="1059">
        <v>23.191139</v>
      </c>
      <c r="AO115" s="1059">
        <v>23.409314999999999</v>
      </c>
      <c r="AP115" s="1059">
        <v>23.521646</v>
      </c>
      <c r="AQ115" s="1059">
        <v>23.76399</v>
      </c>
      <c r="AR115" s="1059">
        <v>24.052772999999998</v>
      </c>
      <c r="AS115" s="1055"/>
      <c r="AT115" s="1055"/>
      <c r="AU115" s="1055"/>
      <c r="AV115" s="1055"/>
      <c r="AW115" s="1055"/>
      <c r="AX115" s="1055"/>
      <c r="AY115" s="1055"/>
      <c r="AZ115" s="1055"/>
      <c r="BA115" s="1055"/>
      <c r="BB115" s="1055"/>
      <c r="BC115" s="1055"/>
      <c r="BD115" s="1055"/>
      <c r="BE115" s="1055"/>
      <c r="BF115" s="1055"/>
      <c r="BG115" s="1055"/>
      <c r="BH115" s="1055"/>
      <c r="BI115" s="1055"/>
      <c r="BJ115" s="1055"/>
      <c r="BK115" s="1055"/>
      <c r="BL115" s="1055"/>
      <c r="BM115" s="1055"/>
      <c r="BN115" s="1055"/>
      <c r="BO115" s="1055"/>
      <c r="BP115" s="1055"/>
      <c r="BQ115" s="1055"/>
      <c r="BR115" s="1055"/>
      <c r="BS115" s="1055"/>
      <c r="BT115" s="1055"/>
      <c r="BU115" s="1055"/>
      <c r="BV115" s="1057"/>
    </row>
    <row r="116" spans="1:74" s="1053" customFormat="1" ht="13" thickBot="1" x14ac:dyDescent="0.3">
      <c r="A116" s="1062" t="s">
        <v>684</v>
      </c>
      <c r="B116" s="1063"/>
      <c r="C116" s="1064"/>
      <c r="D116" s="1064"/>
      <c r="E116" s="1064"/>
      <c r="F116" s="1063"/>
      <c r="G116" s="1063"/>
      <c r="H116" s="1063"/>
      <c r="I116" s="1063"/>
      <c r="J116" s="1063"/>
      <c r="K116" s="1063"/>
      <c r="L116" s="1063"/>
      <c r="M116" s="1063"/>
      <c r="N116" s="1063"/>
      <c r="O116" s="1065">
        <v>34.952885000000002</v>
      </c>
      <c r="P116" s="1065">
        <v>34.831184</v>
      </c>
      <c r="Q116" s="1065">
        <v>34.015979999999999</v>
      </c>
      <c r="R116" s="1065">
        <v>34.409668000000003</v>
      </c>
      <c r="S116" s="1065">
        <v>34.941752999999999</v>
      </c>
      <c r="T116" s="1065">
        <v>35.163139000000001</v>
      </c>
      <c r="U116" s="1065">
        <v>35.519157</v>
      </c>
      <c r="V116" s="1065">
        <v>35.913296000000003</v>
      </c>
      <c r="W116" s="1065">
        <v>36.178234000000003</v>
      </c>
      <c r="X116" s="1065">
        <v>36.146892999999999</v>
      </c>
      <c r="Y116" s="1065">
        <v>36.061802</v>
      </c>
      <c r="Z116" s="1065">
        <v>35.804130999999998</v>
      </c>
      <c r="AA116" s="1065">
        <v>35.695621000000003</v>
      </c>
      <c r="AB116" s="1065">
        <v>36.040774999999996</v>
      </c>
      <c r="AC116" s="1065">
        <v>36.141415000000002</v>
      </c>
      <c r="AD116" s="1065">
        <v>36.246937000000003</v>
      </c>
      <c r="AE116" s="1065">
        <v>36.470740999999997</v>
      </c>
      <c r="AF116" s="1065">
        <v>36.579631999999997</v>
      </c>
      <c r="AG116" s="1065">
        <v>36.725307000000001</v>
      </c>
      <c r="AH116" s="1065">
        <v>36.981831</v>
      </c>
      <c r="AI116" s="1065">
        <v>37.256236999999999</v>
      </c>
      <c r="AJ116" s="1065">
        <v>37.335673999999997</v>
      </c>
      <c r="AK116" s="1065">
        <v>37.369007000000003</v>
      </c>
      <c r="AL116" s="1065">
        <v>37.567386999999997</v>
      </c>
      <c r="AM116" s="1065">
        <v>37.817901999999997</v>
      </c>
      <c r="AN116" s="1065">
        <v>38.082256000000001</v>
      </c>
      <c r="AO116" s="1065">
        <v>38.298912000000001</v>
      </c>
      <c r="AP116" s="1065">
        <v>38.369354000000001</v>
      </c>
      <c r="AQ116" s="1065">
        <v>38.582217999999997</v>
      </c>
      <c r="AR116" s="1065">
        <v>38.834609999999998</v>
      </c>
      <c r="AS116" s="1063"/>
      <c r="AT116" s="1063"/>
      <c r="AU116" s="1063"/>
      <c r="AV116" s="1063"/>
      <c r="AW116" s="1063"/>
      <c r="AX116" s="1063"/>
      <c r="AY116" s="1063"/>
      <c r="AZ116" s="1063"/>
      <c r="BA116" s="1063"/>
      <c r="BB116" s="1063"/>
      <c r="BC116" s="1063"/>
      <c r="BD116" s="1063"/>
      <c r="BE116" s="1063"/>
      <c r="BF116" s="1063"/>
      <c r="BG116" s="1063"/>
      <c r="BH116" s="1063"/>
      <c r="BI116" s="1063"/>
      <c r="BJ116" s="1063"/>
      <c r="BK116" s="1063"/>
      <c r="BL116" s="1063"/>
      <c r="BM116" s="1063"/>
      <c r="BN116" s="1063"/>
      <c r="BO116" s="1063"/>
      <c r="BP116" s="1063"/>
      <c r="BQ116" s="1063"/>
      <c r="BR116" s="1063"/>
      <c r="BS116" s="1063"/>
      <c r="BT116" s="1063"/>
      <c r="BU116" s="1063"/>
      <c r="BV116" s="1066"/>
    </row>
    <row r="129" spans="1:104" ht="13" thickBot="1" x14ac:dyDescent="0.3"/>
    <row r="130" spans="1:104" ht="13" x14ac:dyDescent="0.3">
      <c r="A130" s="1382" t="s">
        <v>1290</v>
      </c>
      <c r="B130" s="1383" t="str">
        <f>"Prices are in $(" &amp; ref_year&amp;")/GJ LHV"</f>
        <v>Prices are in $(2016)/GJ LHV</v>
      </c>
      <c r="C130" s="1383"/>
      <c r="D130" s="1384"/>
      <c r="E130" s="1383"/>
      <c r="F130" s="959"/>
      <c r="G130" s="959"/>
      <c r="H130" s="959"/>
      <c r="I130" s="959"/>
      <c r="J130" s="959"/>
      <c r="K130" s="959"/>
      <c r="L130" s="959"/>
      <c r="M130" s="959"/>
      <c r="N130" s="959"/>
      <c r="O130" s="959"/>
      <c r="P130" s="959"/>
      <c r="Q130" s="959"/>
      <c r="R130" s="959"/>
      <c r="S130" s="959"/>
      <c r="T130" s="959"/>
      <c r="U130" s="959"/>
      <c r="V130" s="959"/>
      <c r="W130" s="959"/>
      <c r="X130" s="959"/>
      <c r="Y130" s="959"/>
      <c r="Z130" s="959"/>
      <c r="AA130" s="959"/>
      <c r="AB130" s="959"/>
      <c r="AC130" s="959"/>
      <c r="AD130" s="959"/>
      <c r="AE130" s="959"/>
      <c r="AF130" s="959"/>
      <c r="AG130" s="959"/>
      <c r="AH130" s="959"/>
      <c r="AI130" s="959"/>
      <c r="AJ130" s="959"/>
      <c r="AK130" s="959"/>
      <c r="AL130" s="959"/>
      <c r="AM130" s="959"/>
      <c r="AN130" s="959"/>
      <c r="AO130" s="959"/>
      <c r="AP130" s="959"/>
      <c r="AQ130" s="959"/>
      <c r="AR130" s="959"/>
      <c r="AS130" s="1385"/>
      <c r="AT130" s="1385"/>
      <c r="AU130" s="1385"/>
      <c r="AV130" s="1385"/>
      <c r="AW130" s="1385"/>
      <c r="AX130" s="1385"/>
      <c r="AY130" s="1385"/>
      <c r="AZ130" s="1385"/>
      <c r="BA130" s="1385"/>
      <c r="BB130" s="1386" t="s">
        <v>1291</v>
      </c>
      <c r="BC130" s="1387"/>
      <c r="BD130" s="1387"/>
      <c r="BE130" s="1387"/>
      <c r="BF130" s="1387"/>
      <c r="BG130" s="1387"/>
      <c r="BH130" s="1387"/>
      <c r="BI130" s="1387"/>
      <c r="BJ130" s="1387"/>
      <c r="BK130" s="1387"/>
      <c r="BL130" s="1387"/>
      <c r="BM130" s="1387"/>
      <c r="BN130" s="1387"/>
      <c r="BO130" s="1387"/>
      <c r="BP130" s="1387"/>
      <c r="BQ130" s="1387"/>
      <c r="BR130" s="1387"/>
      <c r="BS130" s="1387"/>
      <c r="BT130" s="1387"/>
      <c r="BU130" s="1387"/>
      <c r="BV130" s="1387"/>
      <c r="BW130" s="1387"/>
      <c r="BX130" s="1387"/>
      <c r="BY130" s="1387"/>
      <c r="BZ130" s="1387"/>
      <c r="CA130" s="1387"/>
      <c r="CB130" s="1387"/>
      <c r="CC130" s="1387"/>
      <c r="CD130" s="1387"/>
      <c r="CE130" s="1387"/>
      <c r="CF130" s="1387"/>
      <c r="CG130" s="1387"/>
      <c r="CH130" s="1387"/>
      <c r="CI130" s="1387"/>
      <c r="CJ130" s="1387"/>
      <c r="CK130" s="1387"/>
      <c r="CL130" s="1387"/>
      <c r="CM130" s="1387"/>
      <c r="CN130" s="1387"/>
      <c r="CO130" s="1387"/>
      <c r="CP130" s="1387"/>
      <c r="CQ130" s="1387"/>
      <c r="CR130" s="1387"/>
      <c r="CS130" s="1387"/>
      <c r="CT130" s="1387"/>
      <c r="CU130" s="1387"/>
      <c r="CV130" s="1387"/>
      <c r="CW130" s="1387"/>
      <c r="CX130" s="1387"/>
      <c r="CY130" s="1387"/>
      <c r="CZ130" s="1388"/>
    </row>
    <row r="131" spans="1:104" ht="39.5" thickBot="1" x14ac:dyDescent="0.35">
      <c r="A131" s="1389" t="s">
        <v>1084</v>
      </c>
      <c r="B131" s="1123" t="s">
        <v>678</v>
      </c>
      <c r="C131" s="1123" t="s">
        <v>679</v>
      </c>
      <c r="D131" s="1256" t="s">
        <v>690</v>
      </c>
      <c r="E131" s="1123" t="s">
        <v>691</v>
      </c>
      <c r="F131" s="1124" t="s">
        <v>680</v>
      </c>
      <c r="G131" s="1124" t="s">
        <v>692</v>
      </c>
      <c r="H131" s="889">
        <v>2004</v>
      </c>
      <c r="I131" s="889">
        <f>+H131+1</f>
        <v>2005</v>
      </c>
      <c r="J131" s="889">
        <f t="shared" ref="J131:BU131" si="265">+I131+1</f>
        <v>2006</v>
      </c>
      <c r="K131" s="889">
        <f t="shared" si="265"/>
        <v>2007</v>
      </c>
      <c r="L131" s="889">
        <f t="shared" si="265"/>
        <v>2008</v>
      </c>
      <c r="M131" s="889">
        <f t="shared" si="265"/>
        <v>2009</v>
      </c>
      <c r="N131" s="889">
        <f t="shared" si="265"/>
        <v>2010</v>
      </c>
      <c r="O131" s="889">
        <f t="shared" si="265"/>
        <v>2011</v>
      </c>
      <c r="P131" s="889">
        <f t="shared" si="265"/>
        <v>2012</v>
      </c>
      <c r="Q131" s="889">
        <f t="shared" si="265"/>
        <v>2013</v>
      </c>
      <c r="R131" s="889">
        <f t="shared" si="265"/>
        <v>2014</v>
      </c>
      <c r="S131" s="889">
        <f t="shared" si="265"/>
        <v>2015</v>
      </c>
      <c r="T131" s="889">
        <f t="shared" si="265"/>
        <v>2016</v>
      </c>
      <c r="U131" s="889">
        <f t="shared" si="265"/>
        <v>2017</v>
      </c>
      <c r="V131" s="889">
        <f t="shared" si="265"/>
        <v>2018</v>
      </c>
      <c r="W131" s="889">
        <f t="shared" si="265"/>
        <v>2019</v>
      </c>
      <c r="X131" s="889">
        <f t="shared" si="265"/>
        <v>2020</v>
      </c>
      <c r="Y131" s="889">
        <f t="shared" si="265"/>
        <v>2021</v>
      </c>
      <c r="Z131" s="889">
        <f t="shared" si="265"/>
        <v>2022</v>
      </c>
      <c r="AA131" s="889">
        <f t="shared" si="265"/>
        <v>2023</v>
      </c>
      <c r="AB131" s="889">
        <f t="shared" si="265"/>
        <v>2024</v>
      </c>
      <c r="AC131" s="889">
        <f t="shared" si="265"/>
        <v>2025</v>
      </c>
      <c r="AD131" s="889">
        <f t="shared" si="265"/>
        <v>2026</v>
      </c>
      <c r="AE131" s="889">
        <f t="shared" si="265"/>
        <v>2027</v>
      </c>
      <c r="AF131" s="889">
        <f t="shared" si="265"/>
        <v>2028</v>
      </c>
      <c r="AG131" s="889">
        <f t="shared" si="265"/>
        <v>2029</v>
      </c>
      <c r="AH131" s="889">
        <f t="shared" si="265"/>
        <v>2030</v>
      </c>
      <c r="AI131" s="889">
        <f t="shared" si="265"/>
        <v>2031</v>
      </c>
      <c r="AJ131" s="889">
        <f t="shared" si="265"/>
        <v>2032</v>
      </c>
      <c r="AK131" s="889">
        <f t="shared" si="265"/>
        <v>2033</v>
      </c>
      <c r="AL131" s="889">
        <f t="shared" si="265"/>
        <v>2034</v>
      </c>
      <c r="AM131" s="889">
        <f t="shared" si="265"/>
        <v>2035</v>
      </c>
      <c r="AN131" s="889">
        <f t="shared" si="265"/>
        <v>2036</v>
      </c>
      <c r="AO131" s="889">
        <f t="shared" si="265"/>
        <v>2037</v>
      </c>
      <c r="AP131" s="889">
        <f t="shared" si="265"/>
        <v>2038</v>
      </c>
      <c r="AQ131" s="889">
        <f t="shared" si="265"/>
        <v>2039</v>
      </c>
      <c r="AR131" s="889">
        <f t="shared" si="265"/>
        <v>2040</v>
      </c>
      <c r="AS131" s="889">
        <f t="shared" si="265"/>
        <v>2041</v>
      </c>
      <c r="AT131" s="889">
        <f t="shared" si="265"/>
        <v>2042</v>
      </c>
      <c r="AU131" s="889">
        <f t="shared" si="265"/>
        <v>2043</v>
      </c>
      <c r="AV131" s="889">
        <f t="shared" si="265"/>
        <v>2044</v>
      </c>
      <c r="AW131" s="889">
        <f t="shared" si="265"/>
        <v>2045</v>
      </c>
      <c r="AX131" s="889">
        <f t="shared" si="265"/>
        <v>2046</v>
      </c>
      <c r="AY131" s="889">
        <f t="shared" si="265"/>
        <v>2047</v>
      </c>
      <c r="AZ131" s="889">
        <f t="shared" si="265"/>
        <v>2048</v>
      </c>
      <c r="BA131" s="889">
        <f t="shared" si="265"/>
        <v>2049</v>
      </c>
      <c r="BB131" s="889">
        <f t="shared" si="265"/>
        <v>2050</v>
      </c>
      <c r="BC131" s="889">
        <f t="shared" si="265"/>
        <v>2051</v>
      </c>
      <c r="BD131" s="889">
        <f t="shared" si="265"/>
        <v>2052</v>
      </c>
      <c r="BE131" s="889">
        <f t="shared" si="265"/>
        <v>2053</v>
      </c>
      <c r="BF131" s="889">
        <f t="shared" si="265"/>
        <v>2054</v>
      </c>
      <c r="BG131" s="889">
        <f t="shared" si="265"/>
        <v>2055</v>
      </c>
      <c r="BH131" s="889">
        <f t="shared" si="265"/>
        <v>2056</v>
      </c>
      <c r="BI131" s="889">
        <f t="shared" si="265"/>
        <v>2057</v>
      </c>
      <c r="BJ131" s="889">
        <f t="shared" si="265"/>
        <v>2058</v>
      </c>
      <c r="BK131" s="889">
        <f t="shared" si="265"/>
        <v>2059</v>
      </c>
      <c r="BL131" s="889">
        <f t="shared" si="265"/>
        <v>2060</v>
      </c>
      <c r="BM131" s="889">
        <f t="shared" si="265"/>
        <v>2061</v>
      </c>
      <c r="BN131" s="889">
        <f t="shared" si="265"/>
        <v>2062</v>
      </c>
      <c r="BO131" s="889">
        <f t="shared" si="265"/>
        <v>2063</v>
      </c>
      <c r="BP131" s="889">
        <f t="shared" si="265"/>
        <v>2064</v>
      </c>
      <c r="BQ131" s="889">
        <f t="shared" si="265"/>
        <v>2065</v>
      </c>
      <c r="BR131" s="889">
        <f t="shared" si="265"/>
        <v>2066</v>
      </c>
      <c r="BS131" s="889">
        <f t="shared" si="265"/>
        <v>2067</v>
      </c>
      <c r="BT131" s="889">
        <f t="shared" si="265"/>
        <v>2068</v>
      </c>
      <c r="BU131" s="889">
        <f t="shared" si="265"/>
        <v>2069</v>
      </c>
      <c r="BV131" s="889">
        <f t="shared" ref="BV131:CZ131" si="266">+BU131+1</f>
        <v>2070</v>
      </c>
      <c r="BW131" s="889">
        <f t="shared" si="266"/>
        <v>2071</v>
      </c>
      <c r="BX131" s="889">
        <f t="shared" si="266"/>
        <v>2072</v>
      </c>
      <c r="BY131" s="889">
        <f t="shared" si="266"/>
        <v>2073</v>
      </c>
      <c r="BZ131" s="889">
        <f t="shared" si="266"/>
        <v>2074</v>
      </c>
      <c r="CA131" s="889">
        <f t="shared" si="266"/>
        <v>2075</v>
      </c>
      <c r="CB131" s="889">
        <f t="shared" si="266"/>
        <v>2076</v>
      </c>
      <c r="CC131" s="889">
        <f t="shared" si="266"/>
        <v>2077</v>
      </c>
      <c r="CD131" s="889">
        <f t="shared" si="266"/>
        <v>2078</v>
      </c>
      <c r="CE131" s="889">
        <f t="shared" si="266"/>
        <v>2079</v>
      </c>
      <c r="CF131" s="889">
        <f t="shared" si="266"/>
        <v>2080</v>
      </c>
      <c r="CG131" s="889">
        <f t="shared" si="266"/>
        <v>2081</v>
      </c>
      <c r="CH131" s="889">
        <f t="shared" si="266"/>
        <v>2082</v>
      </c>
      <c r="CI131" s="889">
        <f t="shared" si="266"/>
        <v>2083</v>
      </c>
      <c r="CJ131" s="889">
        <f t="shared" si="266"/>
        <v>2084</v>
      </c>
      <c r="CK131" s="889">
        <f t="shared" si="266"/>
        <v>2085</v>
      </c>
      <c r="CL131" s="889">
        <f t="shared" si="266"/>
        <v>2086</v>
      </c>
      <c r="CM131" s="889">
        <f t="shared" si="266"/>
        <v>2087</v>
      </c>
      <c r="CN131" s="889">
        <f t="shared" si="266"/>
        <v>2088</v>
      </c>
      <c r="CO131" s="889">
        <f t="shared" si="266"/>
        <v>2089</v>
      </c>
      <c r="CP131" s="889">
        <f t="shared" si="266"/>
        <v>2090</v>
      </c>
      <c r="CQ131" s="889">
        <f t="shared" si="266"/>
        <v>2091</v>
      </c>
      <c r="CR131" s="889">
        <f t="shared" si="266"/>
        <v>2092</v>
      </c>
      <c r="CS131" s="889">
        <f t="shared" si="266"/>
        <v>2093</v>
      </c>
      <c r="CT131" s="889">
        <f t="shared" si="266"/>
        <v>2094</v>
      </c>
      <c r="CU131" s="889">
        <f t="shared" si="266"/>
        <v>2095</v>
      </c>
      <c r="CV131" s="889">
        <f t="shared" si="266"/>
        <v>2096</v>
      </c>
      <c r="CW131" s="889">
        <f t="shared" si="266"/>
        <v>2097</v>
      </c>
      <c r="CX131" s="889">
        <f t="shared" si="266"/>
        <v>2098</v>
      </c>
      <c r="CY131" s="889">
        <f t="shared" si="266"/>
        <v>2099</v>
      </c>
      <c r="CZ131" s="1390">
        <f t="shared" si="266"/>
        <v>2100</v>
      </c>
    </row>
    <row r="132" spans="1:104" ht="13" thickBot="1" x14ac:dyDescent="0.3">
      <c r="A132" s="1391" t="s">
        <v>1090</v>
      </c>
      <c r="B132" s="871"/>
      <c r="C132" s="871"/>
      <c r="D132" s="1257"/>
      <c r="E132" s="871"/>
      <c r="F132" s="871"/>
      <c r="G132" s="871"/>
      <c r="H132" s="959"/>
      <c r="I132" s="959"/>
      <c r="J132" s="959"/>
      <c r="K132" s="959"/>
      <c r="L132" s="959"/>
      <c r="M132" s="959"/>
      <c r="N132" s="959"/>
      <c r="O132" s="959"/>
      <c r="P132" s="959"/>
      <c r="Q132" s="959"/>
      <c r="R132" s="959"/>
      <c r="S132" s="959"/>
      <c r="T132" s="959"/>
      <c r="U132" s="959"/>
      <c r="V132" s="959"/>
      <c r="W132" s="959"/>
      <c r="X132" s="959"/>
      <c r="Y132" s="959"/>
      <c r="Z132" s="959"/>
      <c r="AA132" s="959"/>
      <c r="AB132" s="959"/>
      <c r="AC132" s="959"/>
      <c r="AD132" s="959"/>
      <c r="AE132" s="959"/>
      <c r="AF132" s="959"/>
      <c r="AG132" s="959"/>
      <c r="AH132" s="959"/>
      <c r="AI132" s="959"/>
      <c r="AJ132" s="959"/>
      <c r="AK132" s="959"/>
      <c r="AL132" s="959"/>
      <c r="AM132" s="959"/>
      <c r="AN132" s="959"/>
      <c r="AO132" s="959"/>
      <c r="AP132" s="959"/>
      <c r="AQ132" s="959"/>
      <c r="AR132" s="959"/>
      <c r="AS132" s="959"/>
      <c r="AT132" s="959"/>
      <c r="AU132" s="959"/>
      <c r="AV132" s="959"/>
      <c r="AW132" s="959"/>
      <c r="AX132" s="959"/>
      <c r="AY132" s="959"/>
      <c r="AZ132" s="959"/>
      <c r="BA132" s="959"/>
      <c r="BB132" s="959"/>
      <c r="BC132" s="959"/>
      <c r="BD132" s="959"/>
      <c r="BE132" s="959"/>
      <c r="BF132" s="959"/>
      <c r="BG132" s="959"/>
      <c r="BH132" s="959"/>
      <c r="BI132" s="959"/>
      <c r="BJ132" s="959"/>
      <c r="BK132" s="959"/>
      <c r="BL132" s="959"/>
      <c r="BM132" s="959"/>
      <c r="BN132" s="959"/>
      <c r="BO132" s="959"/>
      <c r="BP132" s="959"/>
      <c r="BQ132" s="959"/>
      <c r="BR132" s="959"/>
      <c r="BS132" s="959"/>
      <c r="BT132" s="959"/>
      <c r="BU132" s="959"/>
      <c r="BV132" s="959"/>
      <c r="BW132" s="959"/>
      <c r="BX132" s="959"/>
      <c r="BY132" s="959"/>
      <c r="BZ132" s="959"/>
      <c r="CA132" s="959"/>
      <c r="CB132" s="959"/>
      <c r="CC132" s="959"/>
      <c r="CD132" s="959"/>
      <c r="CE132" s="959"/>
      <c r="CF132" s="959"/>
      <c r="CG132" s="959"/>
      <c r="CH132" s="959"/>
      <c r="CI132" s="959"/>
      <c r="CJ132" s="959"/>
      <c r="CK132" s="959"/>
      <c r="CL132" s="959"/>
      <c r="CM132" s="959"/>
      <c r="CN132" s="959"/>
      <c r="CO132" s="959"/>
      <c r="CP132" s="959"/>
      <c r="CQ132" s="959"/>
      <c r="CR132" s="959"/>
      <c r="CS132" s="959"/>
      <c r="CT132" s="959"/>
      <c r="CU132" s="959"/>
      <c r="CV132" s="959"/>
      <c r="CW132" s="959"/>
      <c r="CX132" s="959"/>
      <c r="CY132" s="959"/>
      <c r="CZ132" s="1392"/>
    </row>
    <row r="133" spans="1:104" ht="13" x14ac:dyDescent="0.3">
      <c r="A133" s="1495" t="s">
        <v>681</v>
      </c>
      <c r="B133" s="260">
        <v>2016</v>
      </c>
      <c r="C133" s="874">
        <f t="shared" ref="C133:C141" si="267">VLOOKUP(ref_year,DeflatorTable,2,FALSE)/VLOOKUP(B133,DeflatorTable,2,FALSE)</f>
        <v>1</v>
      </c>
      <c r="D133" s="1258" t="s">
        <v>864</v>
      </c>
      <c r="E133" s="874" t="s">
        <v>1058</v>
      </c>
      <c r="F133" s="260">
        <v>47.141269049911173</v>
      </c>
      <c r="G133" s="260">
        <v>52.224661236371581</v>
      </c>
      <c r="H133" s="1068">
        <f>+H153*$C133</f>
        <v>13.604875014867702</v>
      </c>
      <c r="I133" s="1068">
        <f t="shared" ref="I133:BT141" si="268">+I153*$C133</f>
        <v>15.571757228276402</v>
      </c>
      <c r="J133" s="1068">
        <f t="shared" si="268"/>
        <v>16.331995797204218</v>
      </c>
      <c r="K133" s="1068">
        <f t="shared" si="268"/>
        <v>15.155672177020728</v>
      </c>
      <c r="L133" s="1068">
        <f t="shared" si="268"/>
        <v>15.783516201764996</v>
      </c>
      <c r="M133" s="1068">
        <f t="shared" si="268"/>
        <v>13.69149010361817</v>
      </c>
      <c r="N133" s="1068">
        <f t="shared" si="268"/>
        <v>12.691188457250465</v>
      </c>
      <c r="O133" s="959">
        <f t="shared" si="268"/>
        <v>12.04142243701838</v>
      </c>
      <c r="P133" s="959">
        <f t="shared" si="268"/>
        <v>11.415954621928984</v>
      </c>
      <c r="Q133" s="959">
        <f t="shared" si="268"/>
        <v>10.886628367710442</v>
      </c>
      <c r="R133" s="959">
        <f t="shared" si="268"/>
        <v>11.368469484946878</v>
      </c>
      <c r="S133" s="959">
        <f t="shared" si="268"/>
        <v>9.7183315387998359</v>
      </c>
      <c r="T133" s="959">
        <f t="shared" si="268"/>
        <v>9.390001099467705</v>
      </c>
      <c r="U133" s="959">
        <f t="shared" si="268"/>
        <v>10.023002570479671</v>
      </c>
      <c r="V133" s="959">
        <f t="shared" si="268"/>
        <v>10.033707215541167</v>
      </c>
      <c r="W133" s="959">
        <f t="shared" si="268"/>
        <v>10.158951752324048</v>
      </c>
      <c r="X133" s="959">
        <f t="shared" si="268"/>
        <v>10.289627280447673</v>
      </c>
      <c r="Y133" s="959">
        <f t="shared" si="268"/>
        <v>10.38663350570965</v>
      </c>
      <c r="Z133" s="959">
        <f t="shared" si="268"/>
        <v>10.458822090960101</v>
      </c>
      <c r="AA133" s="959">
        <f t="shared" si="268"/>
        <v>10.541361785535555</v>
      </c>
      <c r="AB133" s="959">
        <f t="shared" si="268"/>
        <v>10.671303703310535</v>
      </c>
      <c r="AC133" s="959">
        <f t="shared" si="268"/>
        <v>10.821196220864106</v>
      </c>
      <c r="AD133" s="959">
        <f t="shared" si="268"/>
        <v>10.961130973142659</v>
      </c>
      <c r="AE133" s="959">
        <f t="shared" si="268"/>
        <v>11.387951919139837</v>
      </c>
      <c r="AF133" s="959">
        <f t="shared" si="268"/>
        <v>11.524366479125279</v>
      </c>
      <c r="AG133" s="959">
        <f t="shared" si="268"/>
        <v>11.653679994237272</v>
      </c>
      <c r="AH133" s="959">
        <f t="shared" si="268"/>
        <v>11.727599293307653</v>
      </c>
      <c r="AI133" s="959">
        <f t="shared" si="268"/>
        <v>11.827238554162054</v>
      </c>
      <c r="AJ133" s="959">
        <f t="shared" si="268"/>
        <v>11.877874728924342</v>
      </c>
      <c r="AK133" s="959">
        <f t="shared" si="268"/>
        <v>11.891573527850655</v>
      </c>
      <c r="AL133" s="959">
        <f t="shared" si="268"/>
        <v>11.9827791131466</v>
      </c>
      <c r="AM133" s="959">
        <f t="shared" si="268"/>
        <v>12.163475682807357</v>
      </c>
      <c r="AN133" s="959">
        <f t="shared" si="268"/>
        <v>12.259449735369497</v>
      </c>
      <c r="AO133" s="959">
        <f t="shared" si="268"/>
        <v>12.356256919064013</v>
      </c>
      <c r="AP133" s="959">
        <f t="shared" si="268"/>
        <v>12.41256198723101</v>
      </c>
      <c r="AQ133" s="959">
        <f t="shared" si="268"/>
        <v>12.490714236969412</v>
      </c>
      <c r="AR133" s="959">
        <f t="shared" si="268"/>
        <v>12.496378391289182</v>
      </c>
      <c r="AS133" s="959">
        <f t="shared" si="268"/>
        <v>12.55376491863939</v>
      </c>
      <c r="AT133" s="959">
        <f t="shared" si="268"/>
        <v>12.651412816002184</v>
      </c>
      <c r="AU133" s="959">
        <f t="shared" si="268"/>
        <v>12.770777096192051</v>
      </c>
      <c r="AV133" s="959">
        <f t="shared" si="268"/>
        <v>12.886454368298935</v>
      </c>
      <c r="AW133" s="959">
        <f t="shared" si="268"/>
        <v>13.010888521557151</v>
      </c>
      <c r="AX133" s="959">
        <f t="shared" si="268"/>
        <v>13.118997475015544</v>
      </c>
      <c r="AY133" s="959">
        <f t="shared" si="268"/>
        <v>13.217679440712152</v>
      </c>
      <c r="AZ133" s="959">
        <f t="shared" si="268"/>
        <v>13.363983523149482</v>
      </c>
      <c r="BA133" s="959">
        <f t="shared" si="268"/>
        <v>13.453606254075613</v>
      </c>
      <c r="BB133" s="959">
        <f t="shared" si="268"/>
        <v>13.593337225701765</v>
      </c>
      <c r="BC133" s="959">
        <f t="shared" si="268"/>
        <v>13.668907227280409</v>
      </c>
      <c r="BD133" s="959">
        <f t="shared" si="268"/>
        <v>13.744897348292845</v>
      </c>
      <c r="BE133" s="959">
        <f t="shared" si="268"/>
        <v>13.821309924326409</v>
      </c>
      <c r="BF133" s="959">
        <f t="shared" si="268"/>
        <v>13.898147303952761</v>
      </c>
      <c r="BG133" s="959">
        <f t="shared" si="268"/>
        <v>13.975411848800078</v>
      </c>
      <c r="BH133" s="959">
        <f t="shared" si="268"/>
        <v>14.050424531225174</v>
      </c>
      <c r="BI133" s="959">
        <f t="shared" si="268"/>
        <v>14.12583984239463</v>
      </c>
      <c r="BJ133" s="959">
        <f t="shared" si="268"/>
        <v>14.201659943408417</v>
      </c>
      <c r="BK133" s="959">
        <f t="shared" si="268"/>
        <v>14.277887006966159</v>
      </c>
      <c r="BL133" s="959">
        <f t="shared" si="268"/>
        <v>14.354523217429389</v>
      </c>
      <c r="BM133" s="959">
        <f t="shared" si="268"/>
        <v>14.422221698840277</v>
      </c>
      <c r="BN133" s="959">
        <f t="shared" si="268"/>
        <v>14.490239458315362</v>
      </c>
      <c r="BO133" s="959">
        <f t="shared" si="268"/>
        <v>14.558578001626712</v>
      </c>
      <c r="BP133" s="959">
        <f t="shared" si="268"/>
        <v>14.627238841647882</v>
      </c>
      <c r="BQ133" s="959">
        <f t="shared" si="268"/>
        <v>14.696223498387408</v>
      </c>
      <c r="BR133" s="959">
        <f t="shared" si="268"/>
        <v>14.75529333521281</v>
      </c>
      <c r="BS133" s="959">
        <f t="shared" si="268"/>
        <v>14.814600596681556</v>
      </c>
      <c r="BT133" s="959">
        <f t="shared" si="268"/>
        <v>14.874146237095607</v>
      </c>
      <c r="BU133" s="959">
        <f t="shared" ref="BU133:CZ140" si="269">+BU153*$C133</f>
        <v>14.933931214592636</v>
      </c>
      <c r="BV133" s="959">
        <f t="shared" si="269"/>
        <v>14.993956491161448</v>
      </c>
      <c r="BW133" s="959">
        <f t="shared" si="269"/>
        <v>15.043740835540882</v>
      </c>
      <c r="BX133" s="959">
        <f t="shared" si="269"/>
        <v>15.093690478582264</v>
      </c>
      <c r="BY133" s="959">
        <f t="shared" si="269"/>
        <v>15.143805969125756</v>
      </c>
      <c r="BZ133" s="959">
        <f t="shared" si="269"/>
        <v>15.19408785783383</v>
      </c>
      <c r="CA133" s="959">
        <f t="shared" si="269"/>
        <v>15.244536697197322</v>
      </c>
      <c r="CB133" s="959">
        <f t="shared" si="269"/>
        <v>15.277067444573643</v>
      </c>
      <c r="CC133" s="959">
        <f t="shared" si="269"/>
        <v>15.309667610230484</v>
      </c>
      <c r="CD133" s="959">
        <f t="shared" si="269"/>
        <v>15.342337342301477</v>
      </c>
      <c r="CE133" s="959">
        <f t="shared" si="269"/>
        <v>15.375076789236356</v>
      </c>
      <c r="CF133" s="959">
        <f t="shared" si="269"/>
        <v>15.407886099801638</v>
      </c>
      <c r="CG133" s="959">
        <f t="shared" si="269"/>
        <v>15.41853907481957</v>
      </c>
      <c r="CH133" s="959">
        <f t="shared" si="269"/>
        <v>15.42919941527855</v>
      </c>
      <c r="CI133" s="959">
        <f t="shared" si="269"/>
        <v>15.439867126271025</v>
      </c>
      <c r="CJ133" s="959">
        <f t="shared" si="269"/>
        <v>15.450542212892964</v>
      </c>
      <c r="CK133" s="959">
        <f t="shared" si="269"/>
        <v>15.461224680243861</v>
      </c>
      <c r="CL133" s="959">
        <f t="shared" si="269"/>
        <v>15.464845562477739</v>
      </c>
      <c r="CM133" s="959">
        <f t="shared" si="269"/>
        <v>15.468467292690251</v>
      </c>
      <c r="CN133" s="959">
        <f t="shared" si="269"/>
        <v>15.472089871079984</v>
      </c>
      <c r="CO133" s="959">
        <f t="shared" si="269"/>
        <v>15.475713297845573</v>
      </c>
      <c r="CP133" s="959">
        <f t="shared" si="269"/>
        <v>15.479337573185701</v>
      </c>
      <c r="CQ133" s="959">
        <f t="shared" si="269"/>
        <v>15.484830510437597</v>
      </c>
      <c r="CR133" s="959">
        <f t="shared" si="269"/>
        <v>15.490325396891745</v>
      </c>
      <c r="CS133" s="959">
        <f t="shared" si="269"/>
        <v>15.49582223323983</v>
      </c>
      <c r="CT133" s="959">
        <f t="shared" si="269"/>
        <v>15.501321020173785</v>
      </c>
      <c r="CU133" s="959">
        <f t="shared" si="269"/>
        <v>15.506821758385787</v>
      </c>
      <c r="CV133" s="959">
        <f t="shared" si="269"/>
        <v>15.515287417782641</v>
      </c>
      <c r="CW133" s="959">
        <f t="shared" si="269"/>
        <v>15.523757698847955</v>
      </c>
      <c r="CX133" s="959">
        <f t="shared" si="269"/>
        <v>15.532232604104841</v>
      </c>
      <c r="CY133" s="959">
        <f t="shared" si="269"/>
        <v>15.540712136077792</v>
      </c>
      <c r="CZ133" s="1392">
        <f t="shared" si="269"/>
        <v>15.549196297292674</v>
      </c>
    </row>
    <row r="134" spans="1:104" ht="13" x14ac:dyDescent="0.3">
      <c r="A134" s="1495" t="s">
        <v>1085</v>
      </c>
      <c r="B134" s="260">
        <v>2016</v>
      </c>
      <c r="C134" s="874">
        <f t="shared" si="267"/>
        <v>1</v>
      </c>
      <c r="D134" s="1258" t="s">
        <v>864</v>
      </c>
      <c r="E134" s="874" t="s">
        <v>1058</v>
      </c>
      <c r="F134" s="260">
        <v>47.141269049911173</v>
      </c>
      <c r="G134" s="260">
        <v>52.224661236371581</v>
      </c>
      <c r="H134" s="1069">
        <f t="shared" ref="H134:BS137" si="270">+H154*$C134</f>
        <v>11.934322920018829</v>
      </c>
      <c r="I134" s="1069">
        <f t="shared" si="270"/>
        <v>13.90423046997279</v>
      </c>
      <c r="J134" s="1069">
        <f t="shared" si="270"/>
        <v>14.274140536522257</v>
      </c>
      <c r="K134" s="1069">
        <f t="shared" si="270"/>
        <v>13.139550648884942</v>
      </c>
      <c r="L134" s="1069">
        <f t="shared" si="270"/>
        <v>13.897221248926272</v>
      </c>
      <c r="M134" s="1069">
        <f t="shared" si="270"/>
        <v>11.345666428533674</v>
      </c>
      <c r="N134" s="1069">
        <f t="shared" si="270"/>
        <v>10.551848524158197</v>
      </c>
      <c r="O134" s="260">
        <f t="shared" si="270"/>
        <v>9.7270239269114924</v>
      </c>
      <c r="P134" s="260">
        <f t="shared" si="270"/>
        <v>8.6825570363966911</v>
      </c>
      <c r="Q134" s="260">
        <f t="shared" si="270"/>
        <v>8.5236392646415098</v>
      </c>
      <c r="R134" s="260">
        <f t="shared" si="270"/>
        <v>9.2232797097563566</v>
      </c>
      <c r="S134" s="260">
        <f t="shared" si="270"/>
        <v>7.6085885488542795</v>
      </c>
      <c r="T134" s="260">
        <f t="shared" si="270"/>
        <v>6.813801352724405</v>
      </c>
      <c r="U134" s="260">
        <f t="shared" si="270"/>
        <v>7.4731047451509687</v>
      </c>
      <c r="V134" s="260">
        <f t="shared" si="270"/>
        <v>7.9843107853990691</v>
      </c>
      <c r="W134" s="260">
        <f t="shared" si="270"/>
        <v>8.5650780622071245</v>
      </c>
      <c r="X134" s="260">
        <f t="shared" si="270"/>
        <v>9.1477570858798014</v>
      </c>
      <c r="Y134" s="260">
        <f t="shared" si="270"/>
        <v>9.2514909161219876</v>
      </c>
      <c r="Z134" s="260">
        <f t="shared" si="270"/>
        <v>9.3094669856386769</v>
      </c>
      <c r="AA134" s="260">
        <f t="shared" si="270"/>
        <v>9.3761326413005577</v>
      </c>
      <c r="AB134" s="260">
        <f t="shared" si="270"/>
        <v>9.4891655040111615</v>
      </c>
      <c r="AC134" s="260">
        <f t="shared" si="270"/>
        <v>9.6143446414218783</v>
      </c>
      <c r="AD134" s="260">
        <f t="shared" si="270"/>
        <v>9.7258827967425425</v>
      </c>
      <c r="AE134" s="260">
        <f t="shared" si="270"/>
        <v>10.087086372666475</v>
      </c>
      <c r="AF134" s="260">
        <f t="shared" si="270"/>
        <v>10.198695614261233</v>
      </c>
      <c r="AG134" s="260">
        <f t="shared" si="270"/>
        <v>10.304737378868989</v>
      </c>
      <c r="AH134" s="260">
        <f t="shared" si="270"/>
        <v>10.357640731866367</v>
      </c>
      <c r="AI134" s="260">
        <f t="shared" si="270"/>
        <v>10.427655972763532</v>
      </c>
      <c r="AJ134" s="260">
        <f t="shared" si="270"/>
        <v>10.453569289213085</v>
      </c>
      <c r="AK134" s="260">
        <f t="shared" si="270"/>
        <v>10.441948105124277</v>
      </c>
      <c r="AL134" s="260">
        <f t="shared" si="270"/>
        <v>10.506270757192036</v>
      </c>
      <c r="AM134" s="260">
        <f t="shared" si="270"/>
        <v>10.658282593530579</v>
      </c>
      <c r="AN134" s="260">
        <f t="shared" si="270"/>
        <v>10.722901912315555</v>
      </c>
      <c r="AO134" s="260">
        <f t="shared" si="270"/>
        <v>10.786351624937444</v>
      </c>
      <c r="AP134" s="260">
        <f t="shared" si="270"/>
        <v>10.817805879498341</v>
      </c>
      <c r="AQ134" s="260">
        <f t="shared" si="270"/>
        <v>10.86596540847121</v>
      </c>
      <c r="AR134" s="260">
        <f t="shared" si="270"/>
        <v>10.838793391061706</v>
      </c>
      <c r="AS134" s="260">
        <f t="shared" si="270"/>
        <v>10.868085675073171</v>
      </c>
      <c r="AT134" s="260">
        <f t="shared" si="270"/>
        <v>10.937640276914211</v>
      </c>
      <c r="AU134" s="260">
        <f t="shared" si="270"/>
        <v>11.027299024885883</v>
      </c>
      <c r="AV134" s="260">
        <f t="shared" si="270"/>
        <v>11.114692490256441</v>
      </c>
      <c r="AW134" s="260">
        <f t="shared" si="270"/>
        <v>11.212257927541287</v>
      </c>
      <c r="AX134" s="260">
        <f t="shared" si="270"/>
        <v>11.293368314098968</v>
      </c>
      <c r="AY134" s="260">
        <f t="shared" si="270"/>
        <v>11.35816487466068</v>
      </c>
      <c r="AZ134" s="260">
        <f t="shared" si="270"/>
        <v>11.46581792814789</v>
      </c>
      <c r="BA134" s="260">
        <f t="shared" si="270"/>
        <v>11.521194135666732</v>
      </c>
      <c r="BB134" s="260">
        <f t="shared" si="270"/>
        <v>11.628119265707223</v>
      </c>
      <c r="BC134" s="260">
        <f t="shared" si="270"/>
        <v>11.692763949840026</v>
      </c>
      <c r="BD134" s="260">
        <f t="shared" si="270"/>
        <v>11.757768015837698</v>
      </c>
      <c r="BE134" s="260">
        <f t="shared" si="270"/>
        <v>11.823133461626696</v>
      </c>
      <c r="BF134" s="260">
        <f t="shared" si="270"/>
        <v>11.888862296240635</v>
      </c>
      <c r="BG134" s="260">
        <f t="shared" si="270"/>
        <v>11.954956539882032</v>
      </c>
      <c r="BH134" s="260">
        <f t="shared" si="270"/>
        <v>12.019124477688386</v>
      </c>
      <c r="BI134" s="260">
        <f t="shared" si="270"/>
        <v>12.083636835336717</v>
      </c>
      <c r="BJ134" s="260">
        <f t="shared" si="270"/>
        <v>12.148495461492134</v>
      </c>
      <c r="BK134" s="260">
        <f t="shared" si="270"/>
        <v>12.213702214742405</v>
      </c>
      <c r="BL134" s="260">
        <f t="shared" si="270"/>
        <v>12.279258963651227</v>
      </c>
      <c r="BM134" s="260">
        <f t="shared" si="270"/>
        <v>12.337170130194249</v>
      </c>
      <c r="BN134" s="260">
        <f t="shared" si="270"/>
        <v>12.395354416085945</v>
      </c>
      <c r="BO134" s="260">
        <f t="shared" si="270"/>
        <v>12.453813109405683</v>
      </c>
      <c r="BP134" s="260">
        <f t="shared" si="270"/>
        <v>12.512547504307637</v>
      </c>
      <c r="BQ134" s="260">
        <f t="shared" si="270"/>
        <v>12.571558901049444</v>
      </c>
      <c r="BR134" s="260">
        <f t="shared" si="270"/>
        <v>12.622088884688262</v>
      </c>
      <c r="BS134" s="260">
        <f t="shared" si="270"/>
        <v>12.672821967979766</v>
      </c>
      <c r="BT134" s="260">
        <f t="shared" si="268"/>
        <v>12.723758967260437</v>
      </c>
      <c r="BU134" s="260">
        <f t="shared" si="269"/>
        <v>12.774900702147928</v>
      </c>
      <c r="BV134" s="260">
        <f t="shared" si="269"/>
        <v>12.826247995554251</v>
      </c>
      <c r="BW134" s="260">
        <f t="shared" si="269"/>
        <v>12.868834910334423</v>
      </c>
      <c r="BX134" s="260">
        <f t="shared" si="269"/>
        <v>12.911563226193937</v>
      </c>
      <c r="BY134" s="260">
        <f t="shared" si="269"/>
        <v>12.954433412625956</v>
      </c>
      <c r="BZ134" s="260">
        <f t="shared" si="269"/>
        <v>12.997445940682496</v>
      </c>
      <c r="CA134" s="260">
        <f t="shared" si="269"/>
        <v>13.040601282979605</v>
      </c>
      <c r="CB134" s="260">
        <f t="shared" si="269"/>
        <v>13.06842899033459</v>
      </c>
      <c r="CC134" s="260">
        <f t="shared" si="269"/>
        <v>13.096316080020177</v>
      </c>
      <c r="CD134" s="260">
        <f t="shared" si="269"/>
        <v>13.124262678753999</v>
      </c>
      <c r="CE134" s="260">
        <f t="shared" si="269"/>
        <v>13.152268913524093</v>
      </c>
      <c r="CF134" s="260">
        <f t="shared" si="269"/>
        <v>13.180334911589481</v>
      </c>
      <c r="CG134" s="260">
        <f t="shared" si="269"/>
        <v>13.189447763127433</v>
      </c>
      <c r="CH134" s="260">
        <f t="shared" si="269"/>
        <v>13.198566915268799</v>
      </c>
      <c r="CI134" s="260">
        <f t="shared" si="269"/>
        <v>13.207692372369801</v>
      </c>
      <c r="CJ134" s="260">
        <f t="shared" si="269"/>
        <v>13.216824138789674</v>
      </c>
      <c r="CK134" s="260">
        <f t="shared" si="269"/>
        <v>13.225962218890665</v>
      </c>
      <c r="CL134" s="260">
        <f t="shared" si="269"/>
        <v>13.22905962240266</v>
      </c>
      <c r="CM134" s="260">
        <f t="shared" si="269"/>
        <v>13.232157751299196</v>
      </c>
      <c r="CN134" s="260">
        <f t="shared" si="269"/>
        <v>13.23525660575015</v>
      </c>
      <c r="CO134" s="260">
        <f t="shared" si="269"/>
        <v>13.23835618592544</v>
      </c>
      <c r="CP134" s="260">
        <f t="shared" si="269"/>
        <v>13.241456491995026</v>
      </c>
      <c r="CQ134" s="260">
        <f t="shared" si="269"/>
        <v>13.246155303510076</v>
      </c>
      <c r="CR134" s="260">
        <f t="shared" si="269"/>
        <v>13.250855782427021</v>
      </c>
      <c r="CS134" s="260">
        <f t="shared" si="269"/>
        <v>13.255557929337549</v>
      </c>
      <c r="CT134" s="260">
        <f t="shared" si="269"/>
        <v>13.260261744833558</v>
      </c>
      <c r="CU134" s="260">
        <f t="shared" si="269"/>
        <v>13.264967229507157</v>
      </c>
      <c r="CV134" s="260">
        <f t="shared" si="269"/>
        <v>13.272208990341527</v>
      </c>
      <c r="CW134" s="260">
        <f t="shared" si="269"/>
        <v>13.279454704679821</v>
      </c>
      <c r="CX134" s="260">
        <f t="shared" si="269"/>
        <v>13.286704374680379</v>
      </c>
      <c r="CY134" s="260">
        <f t="shared" si="269"/>
        <v>13.293958002502723</v>
      </c>
      <c r="CZ134" s="449">
        <f t="shared" si="269"/>
        <v>13.30121559030755</v>
      </c>
    </row>
    <row r="135" spans="1:104" ht="13" x14ac:dyDescent="0.3">
      <c r="A135" s="1495" t="s">
        <v>283</v>
      </c>
      <c r="B135" s="260">
        <v>2016</v>
      </c>
      <c r="C135" s="874">
        <f t="shared" si="267"/>
        <v>1</v>
      </c>
      <c r="D135" s="1258" t="s">
        <v>864</v>
      </c>
      <c r="E135" s="874" t="s">
        <v>1058</v>
      </c>
      <c r="F135" s="260">
        <v>47.141269049911173</v>
      </c>
      <c r="G135" s="260">
        <v>52.224661236371581</v>
      </c>
      <c r="H135" s="1069">
        <f t="shared" si="270"/>
        <v>8.2641705904266125</v>
      </c>
      <c r="I135" s="1069">
        <f t="shared" si="270"/>
        <v>10.495609596381577</v>
      </c>
      <c r="J135" s="1069">
        <f t="shared" si="270"/>
        <v>9.3614571685358463</v>
      </c>
      <c r="K135" s="1069">
        <f t="shared" si="270"/>
        <v>8.8987432965993278</v>
      </c>
      <c r="L135" s="1069">
        <f t="shared" si="270"/>
        <v>10.965509816201024</v>
      </c>
      <c r="M135" s="1069">
        <f t="shared" si="270"/>
        <v>6.0111731674040234</v>
      </c>
      <c r="N135" s="1069">
        <f t="shared" si="270"/>
        <v>6.1171751211856922</v>
      </c>
      <c r="O135" s="260">
        <f t="shared" si="270"/>
        <v>5.6004077154944953</v>
      </c>
      <c r="P135" s="260">
        <f t="shared" si="270"/>
        <v>4.1590520124961925</v>
      </c>
      <c r="Q135" s="260">
        <f t="shared" si="270"/>
        <v>4.894763142071362</v>
      </c>
      <c r="R135" s="260">
        <f t="shared" si="270"/>
        <v>5.8241384234641265</v>
      </c>
      <c r="S135" s="260">
        <f t="shared" si="270"/>
        <v>3.5390282601113117</v>
      </c>
      <c r="T135" s="260">
        <f t="shared" si="270"/>
        <v>3.3168400539876552</v>
      </c>
      <c r="U135" s="260">
        <f t="shared" si="270"/>
        <v>3.8686572087168831</v>
      </c>
      <c r="V135" s="260">
        <f t="shared" si="270"/>
        <v>4.230424735748624</v>
      </c>
      <c r="W135" s="260">
        <f t="shared" si="270"/>
        <v>4.6374903322667231</v>
      </c>
      <c r="X135" s="260">
        <f t="shared" si="270"/>
        <v>5.0398775041324821</v>
      </c>
      <c r="Y135" s="260">
        <f t="shared" si="270"/>
        <v>5.0452222441273262</v>
      </c>
      <c r="Z135" s="260">
        <f t="shared" si="270"/>
        <v>4.9894479534735598</v>
      </c>
      <c r="AA135" s="260">
        <f t="shared" si="270"/>
        <v>5.0008757828968315</v>
      </c>
      <c r="AB135" s="260">
        <f t="shared" si="270"/>
        <v>5.0866427943161305</v>
      </c>
      <c r="AC135" s="260">
        <f t="shared" si="270"/>
        <v>5.1985543895300337</v>
      </c>
      <c r="AD135" s="260">
        <f t="shared" si="270"/>
        <v>5.3142743134013735</v>
      </c>
      <c r="AE135" s="260">
        <f t="shared" si="270"/>
        <v>5.4069765017212355</v>
      </c>
      <c r="AF135" s="260">
        <f t="shared" si="270"/>
        <v>5.498883471588238</v>
      </c>
      <c r="AG135" s="260">
        <f t="shared" si="270"/>
        <v>5.5761078084954727</v>
      </c>
      <c r="AH135" s="260">
        <f t="shared" si="270"/>
        <v>5.5953977798334869</v>
      </c>
      <c r="AI135" s="260">
        <f t="shared" si="270"/>
        <v>5.6194116710392619</v>
      </c>
      <c r="AJ135" s="260">
        <f t="shared" si="270"/>
        <v>5.6053299540498323</v>
      </c>
      <c r="AK135" s="260">
        <f t="shared" si="270"/>
        <v>5.5496627667157004</v>
      </c>
      <c r="AL135" s="260">
        <f t="shared" si="270"/>
        <v>5.5482476759527453</v>
      </c>
      <c r="AM135" s="260">
        <f t="shared" si="270"/>
        <v>5.6344516310034729</v>
      </c>
      <c r="AN135" s="260">
        <f t="shared" si="270"/>
        <v>5.6381945602887429</v>
      </c>
      <c r="AO135" s="260">
        <f t="shared" si="270"/>
        <v>5.6485162872871211</v>
      </c>
      <c r="AP135" s="260">
        <f t="shared" si="270"/>
        <v>5.6430123140383071</v>
      </c>
      <c r="AQ135" s="260">
        <f t="shared" si="270"/>
        <v>5.6644386648670784</v>
      </c>
      <c r="AR135" s="260">
        <f t="shared" si="270"/>
        <v>5.6215300420072483</v>
      </c>
      <c r="AS135" s="260">
        <f t="shared" si="270"/>
        <v>5.6260767200982693</v>
      </c>
      <c r="AT135" s="260">
        <f t="shared" si="270"/>
        <v>5.6802473044084865</v>
      </c>
      <c r="AU135" s="260">
        <f t="shared" si="270"/>
        <v>5.7631623345111542</v>
      </c>
      <c r="AV135" s="260">
        <f t="shared" si="270"/>
        <v>5.819991545472468</v>
      </c>
      <c r="AW135" s="260">
        <f t="shared" si="270"/>
        <v>5.8947240715184783</v>
      </c>
      <c r="AX135" s="260">
        <f t="shared" si="270"/>
        <v>5.9518546882819487</v>
      </c>
      <c r="AY135" s="260">
        <f t="shared" si="270"/>
        <v>6.0145186606208574</v>
      </c>
      <c r="AZ135" s="260">
        <f t="shared" si="270"/>
        <v>6.1247620979360331</v>
      </c>
      <c r="BA135" s="260">
        <f t="shared" si="270"/>
        <v>6.1606322318436177</v>
      </c>
      <c r="BB135" s="260">
        <f t="shared" si="270"/>
        <v>6.238633778680942</v>
      </c>
      <c r="BC135" s="260">
        <f t="shared" si="270"/>
        <v>6.2733164733478626</v>
      </c>
      <c r="BD135" s="260">
        <f t="shared" si="270"/>
        <v>6.3081919809530058</v>
      </c>
      <c r="BE135" s="260">
        <f t="shared" si="270"/>
        <v>6.3432613734093088</v>
      </c>
      <c r="BF135" s="260">
        <f t="shared" si="270"/>
        <v>6.3785257285888406</v>
      </c>
      <c r="BG135" s="260">
        <f t="shared" si="270"/>
        <v>6.4139861303559274</v>
      </c>
      <c r="BH135" s="260">
        <f t="shared" si="270"/>
        <v>6.4484130445592944</v>
      </c>
      <c r="BI135" s="260">
        <f t="shared" si="270"/>
        <v>6.4830247443854354</v>
      </c>
      <c r="BJ135" s="260">
        <f t="shared" si="270"/>
        <v>6.5178222216666768</v>
      </c>
      <c r="BK135" s="260">
        <f t="shared" si="270"/>
        <v>6.5528064735589808</v>
      </c>
      <c r="BL135" s="260">
        <f t="shared" si="270"/>
        <v>6.5879785025705191</v>
      </c>
      <c r="BM135" s="260">
        <f t="shared" si="270"/>
        <v>6.6190485794679574</v>
      </c>
      <c r="BN135" s="260">
        <f t="shared" si="270"/>
        <v>6.6502651883672899</v>
      </c>
      <c r="BO135" s="260">
        <f t="shared" si="270"/>
        <v>6.6816290203394662</v>
      </c>
      <c r="BP135" s="260">
        <f t="shared" si="270"/>
        <v>6.7131407697146503</v>
      </c>
      <c r="BQ135" s="260">
        <f t="shared" si="270"/>
        <v>6.7448011340975915</v>
      </c>
      <c r="BR135" s="260">
        <f t="shared" si="270"/>
        <v>6.7719111125525773</v>
      </c>
      <c r="BS135" s="260">
        <f t="shared" si="270"/>
        <v>6.7991300565526132</v>
      </c>
      <c r="BT135" s="260">
        <f t="shared" si="268"/>
        <v>6.8264584040725946</v>
      </c>
      <c r="BU135" s="260">
        <f t="shared" si="269"/>
        <v>6.8538965948478108</v>
      </c>
      <c r="BV135" s="260">
        <f t="shared" si="269"/>
        <v>6.8814450703810159</v>
      </c>
      <c r="BW135" s="260">
        <f t="shared" si="269"/>
        <v>6.904293491437457</v>
      </c>
      <c r="BX135" s="260">
        <f t="shared" si="269"/>
        <v>6.9272177759701634</v>
      </c>
      <c r="BY135" s="260">
        <f t="shared" si="269"/>
        <v>6.9502181758681845</v>
      </c>
      <c r="BZ135" s="260">
        <f t="shared" si="269"/>
        <v>6.9732949438569127</v>
      </c>
      <c r="CA135" s="260">
        <f t="shared" si="269"/>
        <v>6.996448333500866</v>
      </c>
      <c r="CB135" s="260">
        <f t="shared" si="269"/>
        <v>7.0113782521851409</v>
      </c>
      <c r="CC135" s="260">
        <f t="shared" si="269"/>
        <v>7.0263400302445289</v>
      </c>
      <c r="CD135" s="260">
        <f t="shared" si="269"/>
        <v>7.0413337356646508</v>
      </c>
      <c r="CE135" s="260">
        <f t="shared" si="269"/>
        <v>7.0563594365762032</v>
      </c>
      <c r="CF135" s="260">
        <f t="shared" si="269"/>
        <v>7.0714172012552687</v>
      </c>
      <c r="CG135" s="260">
        <f t="shared" si="269"/>
        <v>7.0763063619291211</v>
      </c>
      <c r="CH135" s="260">
        <f t="shared" si="269"/>
        <v>7.0811989029567863</v>
      </c>
      <c r="CI135" s="260">
        <f t="shared" si="269"/>
        <v>7.0860948266754322</v>
      </c>
      <c r="CJ135" s="260">
        <f t="shared" si="269"/>
        <v>7.090994135423843</v>
      </c>
      <c r="CK135" s="260">
        <f t="shared" si="269"/>
        <v>7.0958968315424205</v>
      </c>
      <c r="CL135" s="260">
        <f t="shared" si="269"/>
        <v>7.0975586278944007</v>
      </c>
      <c r="CM135" s="260">
        <f t="shared" si="269"/>
        <v>7.0992208134244059</v>
      </c>
      <c r="CN135" s="260">
        <f t="shared" si="269"/>
        <v>7.1008833882235782</v>
      </c>
      <c r="CO135" s="260">
        <f t="shared" si="269"/>
        <v>7.1025463523830812</v>
      </c>
      <c r="CP135" s="260">
        <f t="shared" si="269"/>
        <v>7.1042097059940996</v>
      </c>
      <c r="CQ135" s="260">
        <f t="shared" si="269"/>
        <v>7.1067306780935082</v>
      </c>
      <c r="CR135" s="260">
        <f t="shared" si="269"/>
        <v>7.1092525447752264</v>
      </c>
      <c r="CS135" s="260">
        <f t="shared" si="269"/>
        <v>7.1117753063567024</v>
      </c>
      <c r="CT135" s="260">
        <f t="shared" si="269"/>
        <v>7.1142989631554965</v>
      </c>
      <c r="CU135" s="260">
        <f t="shared" si="269"/>
        <v>7.1168235154892816</v>
      </c>
      <c r="CV135" s="260">
        <f t="shared" si="269"/>
        <v>7.1207088122192239</v>
      </c>
      <c r="CW135" s="260">
        <f t="shared" si="269"/>
        <v>7.1245962300542702</v>
      </c>
      <c r="CX135" s="260">
        <f t="shared" si="269"/>
        <v>7.1284857701523974</v>
      </c>
      <c r="CY135" s="260">
        <f t="shared" si="269"/>
        <v>7.1323774336722154</v>
      </c>
      <c r="CZ135" s="449">
        <f t="shared" si="269"/>
        <v>7.1362712217729669</v>
      </c>
    </row>
    <row r="136" spans="1:104" ht="13" x14ac:dyDescent="0.3">
      <c r="A136" s="1495" t="s">
        <v>1086</v>
      </c>
      <c r="B136" s="260">
        <v>2016</v>
      </c>
      <c r="C136" s="874">
        <f t="shared" si="267"/>
        <v>1</v>
      </c>
      <c r="D136" s="1258" t="s">
        <v>864</v>
      </c>
      <c r="E136" s="874" t="s">
        <v>1058</v>
      </c>
      <c r="F136" s="260">
        <v>47.141269049911173</v>
      </c>
      <c r="G136" s="260">
        <v>52.224661236371581</v>
      </c>
      <c r="H136" s="1069">
        <f t="shared" si="270"/>
        <v>8.4160389626855991</v>
      </c>
      <c r="I136" s="1069">
        <f t="shared" si="270"/>
        <v>10.630483084185546</v>
      </c>
      <c r="J136" s="1069">
        <f t="shared" si="270"/>
        <v>10.241695834954719</v>
      </c>
      <c r="K136" s="1069">
        <f t="shared" si="270"/>
        <v>9.4549147526367854</v>
      </c>
      <c r="L136" s="1069">
        <f t="shared" si="270"/>
        <v>10.431438353650302</v>
      </c>
      <c r="M136" s="1069">
        <f t="shared" si="270"/>
        <v>7.3081429877632402</v>
      </c>
      <c r="N136" s="1069">
        <f t="shared" si="270"/>
        <v>6.8860004096407268</v>
      </c>
      <c r="O136" s="260">
        <f t="shared" si="270"/>
        <v>6.1462564207083838</v>
      </c>
      <c r="P136" s="260">
        <f t="shared" si="270"/>
        <v>5.0701845410069568</v>
      </c>
      <c r="Q136" s="260">
        <f t="shared" si="270"/>
        <v>5.147940545971605</v>
      </c>
      <c r="R136" s="260">
        <f t="shared" si="270"/>
        <v>5.9174075441245835</v>
      </c>
      <c r="S136" s="260">
        <f t="shared" si="270"/>
        <v>4.3672641892083037</v>
      </c>
      <c r="T136" s="260">
        <f t="shared" si="270"/>
        <v>3.755553639162041</v>
      </c>
      <c r="U136" s="260">
        <f t="shared" si="270"/>
        <v>3.3468214009493336</v>
      </c>
      <c r="V136" s="260">
        <f t="shared" si="270"/>
        <v>3.6078009129373227</v>
      </c>
      <c r="W136" s="260">
        <f t="shared" si="270"/>
        <v>3.9595869792693468</v>
      </c>
      <c r="X136" s="260">
        <f t="shared" si="270"/>
        <v>4.2992239274502966</v>
      </c>
      <c r="Y136" s="260">
        <f t="shared" si="270"/>
        <v>4.3362295461094007</v>
      </c>
      <c r="Z136" s="260">
        <f t="shared" si="270"/>
        <v>4.2972619462853157</v>
      </c>
      <c r="AA136" s="260">
        <f t="shared" si="270"/>
        <v>4.3209431537283329</v>
      </c>
      <c r="AB136" s="260">
        <f t="shared" si="270"/>
        <v>4.4388231525151278</v>
      </c>
      <c r="AC136" s="260">
        <f t="shared" si="270"/>
        <v>4.5598555906037213</v>
      </c>
      <c r="AD136" s="260">
        <f t="shared" si="270"/>
        <v>4.6705511366221319</v>
      </c>
      <c r="AE136" s="260">
        <f t="shared" si="270"/>
        <v>4.7905826799714895</v>
      </c>
      <c r="AF136" s="260">
        <f t="shared" si="270"/>
        <v>4.8909868291351355</v>
      </c>
      <c r="AG136" s="260">
        <f t="shared" si="270"/>
        <v>4.9795195705251665</v>
      </c>
      <c r="AH136" s="260">
        <f t="shared" si="270"/>
        <v>5.0140428564929254</v>
      </c>
      <c r="AI136" s="260">
        <f t="shared" si="270"/>
        <v>5.034241784322349</v>
      </c>
      <c r="AJ136" s="260">
        <f t="shared" si="270"/>
        <v>5.0303794300966009</v>
      </c>
      <c r="AK136" s="260">
        <f t="shared" si="270"/>
        <v>4.9817061843162831</v>
      </c>
      <c r="AL136" s="260">
        <f t="shared" si="270"/>
        <v>5.005816752854825</v>
      </c>
      <c r="AM136" s="260">
        <f t="shared" si="270"/>
        <v>5.1117353012541518</v>
      </c>
      <c r="AN136" s="260">
        <f t="shared" si="270"/>
        <v>5.1218001698488047</v>
      </c>
      <c r="AO136" s="260">
        <f t="shared" si="270"/>
        <v>5.1563490468752367</v>
      </c>
      <c r="AP136" s="260">
        <f t="shared" si="270"/>
        <v>5.1654177598155924</v>
      </c>
      <c r="AQ136" s="260">
        <f t="shared" si="270"/>
        <v>5.1952502995101684</v>
      </c>
      <c r="AR136" s="260">
        <f t="shared" si="270"/>
        <v>5.1548078964528896</v>
      </c>
      <c r="AS136" s="260">
        <f t="shared" si="270"/>
        <v>5.1691436283950809</v>
      </c>
      <c r="AT136" s="260">
        <f t="shared" si="270"/>
        <v>5.2239208155775625</v>
      </c>
      <c r="AU136" s="260">
        <f t="shared" si="270"/>
        <v>5.3036701369405987</v>
      </c>
      <c r="AV136" s="260">
        <f t="shared" si="270"/>
        <v>5.3698761013633396</v>
      </c>
      <c r="AW136" s="260">
        <f t="shared" si="270"/>
        <v>5.4477553798092231</v>
      </c>
      <c r="AX136" s="260">
        <f t="shared" si="270"/>
        <v>5.5105548899774046</v>
      </c>
      <c r="AY136" s="260">
        <f t="shared" si="270"/>
        <v>5.5735610242489493</v>
      </c>
      <c r="AZ136" s="260">
        <f t="shared" si="270"/>
        <v>5.6745566112130543</v>
      </c>
      <c r="BA136" s="260">
        <f t="shared" si="270"/>
        <v>5.7069198222653581</v>
      </c>
      <c r="BB136" s="260">
        <f t="shared" si="270"/>
        <v>5.8107835034348891</v>
      </c>
      <c r="BC136" s="260">
        <f t="shared" si="270"/>
        <v>5.8430876323795795</v>
      </c>
      <c r="BD136" s="260">
        <f t="shared" si="270"/>
        <v>5.8755713510037442</v>
      </c>
      <c r="BE136" s="260">
        <f t="shared" si="270"/>
        <v>5.9082356577077126</v>
      </c>
      <c r="BF136" s="260">
        <f t="shared" si="270"/>
        <v>5.9410815564422617</v>
      </c>
      <c r="BG136" s="260">
        <f t="shared" si="270"/>
        <v>5.974110056739474</v>
      </c>
      <c r="BH136" s="260">
        <f t="shared" si="270"/>
        <v>6.006175946840397</v>
      </c>
      <c r="BI136" s="260">
        <f t="shared" si="270"/>
        <v>6.0384139498247791</v>
      </c>
      <c r="BJ136" s="260">
        <f t="shared" si="270"/>
        <v>6.0708249895043265</v>
      </c>
      <c r="BK136" s="260">
        <f t="shared" si="270"/>
        <v>6.1034099946492821</v>
      </c>
      <c r="BL136" s="260">
        <f t="shared" si="270"/>
        <v>6.1361698990150408</v>
      </c>
      <c r="BM136" s="260">
        <f t="shared" si="270"/>
        <v>6.1651091662794615</v>
      </c>
      <c r="BN136" s="260">
        <f t="shared" si="270"/>
        <v>6.1941849162690321</v>
      </c>
      <c r="BO136" s="260">
        <f t="shared" si="270"/>
        <v>6.2233977926605295</v>
      </c>
      <c r="BP136" s="260">
        <f t="shared" si="270"/>
        <v>6.2527484421664239</v>
      </c>
      <c r="BQ136" s="260">
        <f t="shared" si="270"/>
        <v>6.2822375145491964</v>
      </c>
      <c r="BR136" s="260">
        <f t="shared" si="270"/>
        <v>6.3074882699506478</v>
      </c>
      <c r="BS136" s="260">
        <f t="shared" si="270"/>
        <v>6.3328405179567433</v>
      </c>
      <c r="BT136" s="260">
        <f t="shared" si="268"/>
        <v>6.3582946665057261</v>
      </c>
      <c r="BU136" s="260">
        <f t="shared" si="269"/>
        <v>6.3838511251755019</v>
      </c>
      <c r="BV136" s="260">
        <f t="shared" si="269"/>
        <v>6.4095103051902287</v>
      </c>
      <c r="BW136" s="260">
        <f t="shared" si="269"/>
        <v>6.4307917640583545</v>
      </c>
      <c r="BX136" s="260">
        <f t="shared" si="269"/>
        <v>6.4521438836275307</v>
      </c>
      <c r="BY136" s="260">
        <f t="shared" si="269"/>
        <v>6.473566898512062</v>
      </c>
      <c r="BZ136" s="260">
        <f t="shared" si="269"/>
        <v>6.4950610441052419</v>
      </c>
      <c r="CA136" s="260">
        <f t="shared" si="269"/>
        <v>6.5166265565819383</v>
      </c>
      <c r="CB136" s="260">
        <f t="shared" si="269"/>
        <v>6.5305325700258869</v>
      </c>
      <c r="CC136" s="260">
        <f t="shared" si="269"/>
        <v>6.5444682579046409</v>
      </c>
      <c r="CD136" s="260">
        <f t="shared" si="269"/>
        <v>6.5584336835413142</v>
      </c>
      <c r="CE136" s="260">
        <f t="shared" si="269"/>
        <v>6.5724289103941489</v>
      </c>
      <c r="CF136" s="260">
        <f t="shared" si="269"/>
        <v>6.5864540020568016</v>
      </c>
      <c r="CG136" s="260">
        <f t="shared" si="269"/>
        <v>6.5910078603528843</v>
      </c>
      <c r="CH136" s="260">
        <f t="shared" si="269"/>
        <v>6.5955648671755291</v>
      </c>
      <c r="CI136" s="260">
        <f t="shared" si="269"/>
        <v>6.6001250247016205</v>
      </c>
      <c r="CJ136" s="260">
        <f t="shared" si="269"/>
        <v>6.6046883351095476</v>
      </c>
      <c r="CK136" s="260">
        <f t="shared" si="269"/>
        <v>6.6092548005792047</v>
      </c>
      <c r="CL136" s="260">
        <f t="shared" si="269"/>
        <v>6.6108026296665843</v>
      </c>
      <c r="CM136" s="260">
        <f t="shared" si="269"/>
        <v>6.6123508212418631</v>
      </c>
      <c r="CN136" s="260">
        <f t="shared" si="269"/>
        <v>6.6138993753899316</v>
      </c>
      <c r="CO136" s="260">
        <f t="shared" si="269"/>
        <v>6.6154482921957012</v>
      </c>
      <c r="CP136" s="260">
        <f t="shared" si="269"/>
        <v>6.6169975717441041</v>
      </c>
      <c r="CQ136" s="260">
        <f t="shared" si="269"/>
        <v>6.6193456536491393</v>
      </c>
      <c r="CR136" s="260">
        <f t="shared" si="269"/>
        <v>6.6216945687853457</v>
      </c>
      <c r="CS136" s="260">
        <f t="shared" si="269"/>
        <v>6.6240443174483996</v>
      </c>
      <c r="CT136" s="260">
        <f t="shared" si="269"/>
        <v>6.6263948999340831</v>
      </c>
      <c r="CU136" s="260">
        <f t="shared" si="269"/>
        <v>6.6287463165382841</v>
      </c>
      <c r="CV136" s="260">
        <f t="shared" si="269"/>
        <v>6.6323651566473876</v>
      </c>
      <c r="CW136" s="260">
        <f t="shared" si="269"/>
        <v>6.6359859723945851</v>
      </c>
      <c r="CX136" s="260">
        <f t="shared" si="269"/>
        <v>6.6396087648584388</v>
      </c>
      <c r="CY136" s="260">
        <f t="shared" si="269"/>
        <v>6.6432335351180996</v>
      </c>
      <c r="CZ136" s="449">
        <f t="shared" si="269"/>
        <v>6.6468602842533091</v>
      </c>
    </row>
    <row r="137" spans="1:104" ht="13" x14ac:dyDescent="0.3">
      <c r="A137" s="1495" t="s">
        <v>1081</v>
      </c>
      <c r="B137" s="260">
        <v>2016</v>
      </c>
      <c r="C137" s="874">
        <f t="shared" si="267"/>
        <v>1</v>
      </c>
      <c r="D137" s="1260" t="s">
        <v>268</v>
      </c>
      <c r="E137" s="874" t="s">
        <v>1058</v>
      </c>
      <c r="F137" s="260">
        <v>19.551069237418005</v>
      </c>
      <c r="G137" s="260">
        <v>20.588656379262464</v>
      </c>
      <c r="H137" s="1069">
        <f t="shared" si="270"/>
        <v>5.0967849132778742</v>
      </c>
      <c r="I137" s="1069">
        <f t="shared" si="270"/>
        <v>5.0967849132778742</v>
      </c>
      <c r="J137" s="1069">
        <f t="shared" si="270"/>
        <v>5.0967849132778742</v>
      </c>
      <c r="K137" s="1069">
        <f t="shared" si="270"/>
        <v>5.0967849132778742</v>
      </c>
      <c r="L137" s="1069">
        <f t="shared" si="270"/>
        <v>5.0967849132778742</v>
      </c>
      <c r="M137" s="1069">
        <f t="shared" si="270"/>
        <v>5.0967849132778742</v>
      </c>
      <c r="N137" s="1069">
        <f t="shared" si="270"/>
        <v>5.0967849132778742</v>
      </c>
      <c r="O137" s="260">
        <f t="shared" si="270"/>
        <v>5.0967849132778742</v>
      </c>
      <c r="P137" s="260">
        <f t="shared" si="270"/>
        <v>5.0967849132778742</v>
      </c>
      <c r="Q137" s="260">
        <f t="shared" si="270"/>
        <v>5.0967849132778742</v>
      </c>
      <c r="R137" s="260">
        <f t="shared" si="270"/>
        <v>5.0967849132778742</v>
      </c>
      <c r="S137" s="260">
        <f t="shared" si="270"/>
        <v>5.0967849132778742</v>
      </c>
      <c r="T137" s="260">
        <f t="shared" si="270"/>
        <v>5.0967849132778742</v>
      </c>
      <c r="U137" s="260">
        <f t="shared" si="270"/>
        <v>5.0967849132778742</v>
      </c>
      <c r="V137" s="260">
        <f t="shared" si="270"/>
        <v>5.0967849132778742</v>
      </c>
      <c r="W137" s="260">
        <f t="shared" si="270"/>
        <v>5.0967849132778742</v>
      </c>
      <c r="X137" s="260">
        <f t="shared" si="270"/>
        <v>5.0967849132778742</v>
      </c>
      <c r="Y137" s="260">
        <f t="shared" si="270"/>
        <v>5.0967849132778742</v>
      </c>
      <c r="Z137" s="260">
        <f t="shared" si="270"/>
        <v>5.0967849132778742</v>
      </c>
      <c r="AA137" s="260">
        <f t="shared" si="270"/>
        <v>5.0967849132778742</v>
      </c>
      <c r="AB137" s="260">
        <f t="shared" si="270"/>
        <v>5.0967849132778742</v>
      </c>
      <c r="AC137" s="260">
        <f t="shared" si="270"/>
        <v>5.0967849132778742</v>
      </c>
      <c r="AD137" s="260">
        <f t="shared" si="270"/>
        <v>5.0967849132778742</v>
      </c>
      <c r="AE137" s="260">
        <f t="shared" si="270"/>
        <v>5.0967849132778742</v>
      </c>
      <c r="AF137" s="260">
        <f t="shared" si="270"/>
        <v>5.0967849132778742</v>
      </c>
      <c r="AG137" s="260">
        <f t="shared" si="270"/>
        <v>5.0967849132778742</v>
      </c>
      <c r="AH137" s="260">
        <f t="shared" si="270"/>
        <v>5.0967849132778742</v>
      </c>
      <c r="AI137" s="260">
        <f t="shared" si="270"/>
        <v>5.0967849132778742</v>
      </c>
      <c r="AJ137" s="260">
        <f t="shared" si="270"/>
        <v>5.0967849132778742</v>
      </c>
      <c r="AK137" s="260">
        <f t="shared" si="270"/>
        <v>5.0967849132778742</v>
      </c>
      <c r="AL137" s="260">
        <f t="shared" si="270"/>
        <v>5.0967849132778742</v>
      </c>
      <c r="AM137" s="260">
        <f t="shared" si="270"/>
        <v>5.0967849132778742</v>
      </c>
      <c r="AN137" s="260">
        <f t="shared" si="270"/>
        <v>5.0967849132778742</v>
      </c>
      <c r="AO137" s="260">
        <f t="shared" si="270"/>
        <v>5.0967849132778742</v>
      </c>
      <c r="AP137" s="260">
        <f t="shared" si="270"/>
        <v>5.0967849132778742</v>
      </c>
      <c r="AQ137" s="260">
        <f t="shared" si="270"/>
        <v>5.0967849132778742</v>
      </c>
      <c r="AR137" s="260">
        <f t="shared" si="270"/>
        <v>5.0967849132778742</v>
      </c>
      <c r="AS137" s="260">
        <f t="shared" si="270"/>
        <v>5.0967849132778742</v>
      </c>
      <c r="AT137" s="260">
        <f t="shared" si="270"/>
        <v>5.0967849132778742</v>
      </c>
      <c r="AU137" s="260">
        <f t="shared" si="270"/>
        <v>5.0967849132778742</v>
      </c>
      <c r="AV137" s="260">
        <f t="shared" si="270"/>
        <v>5.0967849132778742</v>
      </c>
      <c r="AW137" s="260">
        <f t="shared" si="270"/>
        <v>5.0967849132778742</v>
      </c>
      <c r="AX137" s="260">
        <f t="shared" si="270"/>
        <v>5.0967849132778742</v>
      </c>
      <c r="AY137" s="260">
        <f t="shared" si="270"/>
        <v>5.0967849132778742</v>
      </c>
      <c r="AZ137" s="260">
        <f t="shared" si="270"/>
        <v>5.0967849132778742</v>
      </c>
      <c r="BA137" s="260">
        <f t="shared" si="270"/>
        <v>5.0967849132778742</v>
      </c>
      <c r="BB137" s="260">
        <f t="shared" si="270"/>
        <v>5.0967849132778742</v>
      </c>
      <c r="BC137" s="260">
        <f t="shared" si="270"/>
        <v>5.1179587571540939</v>
      </c>
      <c r="BD137" s="260">
        <f t="shared" si="270"/>
        <v>5.1392205646528959</v>
      </c>
      <c r="BE137" s="260">
        <f t="shared" si="270"/>
        <v>5.1605707012062227</v>
      </c>
      <c r="BF137" s="260">
        <f t="shared" si="270"/>
        <v>5.1820095337641501</v>
      </c>
      <c r="BG137" s="260">
        <f t="shared" si="270"/>
        <v>5.2035374308011946</v>
      </c>
      <c r="BH137" s="260">
        <f t="shared" si="270"/>
        <v>5.2223240063357927</v>
      </c>
      <c r="BI137" s="260">
        <f t="shared" si="270"/>
        <v>5.2411784079262249</v>
      </c>
      <c r="BJ137" s="260">
        <f t="shared" si="270"/>
        <v>5.2601008804480855</v>
      </c>
      <c r="BK137" s="260">
        <f t="shared" si="270"/>
        <v>5.2790916696610548</v>
      </c>
      <c r="BL137" s="260">
        <f t="shared" si="270"/>
        <v>5.2981510222120916</v>
      </c>
      <c r="BM137" s="260">
        <f t="shared" si="270"/>
        <v>5.3113630812048802</v>
      </c>
      <c r="BN137" s="260">
        <f t="shared" si="270"/>
        <v>5.3246080872582748</v>
      </c>
      <c r="BO137" s="260">
        <f t="shared" si="270"/>
        <v>5.3378861225327325</v>
      </c>
      <c r="BP137" s="260">
        <f t="shared" si="270"/>
        <v>5.3511972693935945</v>
      </c>
      <c r="BQ137" s="260">
        <f t="shared" si="270"/>
        <v>5.3645416104115968</v>
      </c>
      <c r="BR137" s="260">
        <f t="shared" si="270"/>
        <v>5.3779717491778074</v>
      </c>
      <c r="BS137" s="260">
        <f t="shared" ref="BS137" si="271">+BS157*$C137</f>
        <v>5.3914355103185612</v>
      </c>
      <c r="BT137" s="260">
        <f t="shared" si="268"/>
        <v>5.4049329780075288</v>
      </c>
      <c r="BU137" s="260">
        <f t="shared" si="269"/>
        <v>5.4184642366291094</v>
      </c>
      <c r="BV137" s="260">
        <f t="shared" si="269"/>
        <v>5.4320293707789578</v>
      </c>
      <c r="BW137" s="260">
        <f t="shared" si="269"/>
        <v>5.4450858323773135</v>
      </c>
      <c r="BX137" s="260">
        <f t="shared" si="269"/>
        <v>5.458173676572823</v>
      </c>
      <c r="BY137" s="260">
        <f t="shared" si="269"/>
        <v>5.471292978796904</v>
      </c>
      <c r="BZ137" s="260">
        <f t="shared" si="269"/>
        <v>5.4844438146622805</v>
      </c>
      <c r="CA137" s="260">
        <f t="shared" si="269"/>
        <v>5.4976262599634209</v>
      </c>
      <c r="CB137" s="260">
        <f t="shared" si="269"/>
        <v>5.509165721372697</v>
      </c>
      <c r="CC137" s="260">
        <f t="shared" si="269"/>
        <v>5.5207294039936956</v>
      </c>
      <c r="CD137" s="260">
        <f t="shared" si="269"/>
        <v>5.5323173586664938</v>
      </c>
      <c r="CE137" s="260">
        <f t="shared" si="269"/>
        <v>5.5439296363378796</v>
      </c>
      <c r="CF137" s="260">
        <f t="shared" si="269"/>
        <v>5.5555662880615797</v>
      </c>
      <c r="CG137" s="260">
        <f t="shared" si="269"/>
        <v>5.5698816197819898</v>
      </c>
      <c r="CH137" s="260">
        <f t="shared" si="269"/>
        <v>5.5842338386011479</v>
      </c>
      <c r="CI137" s="260">
        <f t="shared" si="269"/>
        <v>5.598623039568059</v>
      </c>
      <c r="CJ137" s="260">
        <f t="shared" si="269"/>
        <v>5.6130493179766479</v>
      </c>
      <c r="CK137" s="260">
        <f t="shared" si="269"/>
        <v>5.6275127693663878</v>
      </c>
      <c r="CL137" s="260">
        <f t="shared" si="269"/>
        <v>5.6395580019552014</v>
      </c>
      <c r="CM137" s="260">
        <f t="shared" si="269"/>
        <v>5.6516290163830023</v>
      </c>
      <c r="CN137" s="260">
        <f t="shared" si="269"/>
        <v>5.6637258678337163</v>
      </c>
      <c r="CO137" s="260">
        <f t="shared" si="269"/>
        <v>5.6758486116093856</v>
      </c>
      <c r="CP137" s="260">
        <f t="shared" si="269"/>
        <v>5.6879973031304223</v>
      </c>
      <c r="CQ137" s="260">
        <f t="shared" si="269"/>
        <v>5.6991168854631553</v>
      </c>
      <c r="CR137" s="260">
        <f t="shared" si="269"/>
        <v>5.7102582056949531</v>
      </c>
      <c r="CS137" s="260">
        <f t="shared" si="269"/>
        <v>5.7214213063216786</v>
      </c>
      <c r="CT137" s="260">
        <f t="shared" si="269"/>
        <v>5.732606229922272</v>
      </c>
      <c r="CU137" s="260">
        <f t="shared" si="269"/>
        <v>5.7438130191589121</v>
      </c>
      <c r="CV137" s="260">
        <f t="shared" si="269"/>
        <v>5.7570440466225028</v>
      </c>
      <c r="CW137" s="260">
        <f t="shared" si="269"/>
        <v>5.7703055521130002</v>
      </c>
      <c r="CX137" s="260">
        <f t="shared" si="269"/>
        <v>5.7835976058373566</v>
      </c>
      <c r="CY137" s="260">
        <f t="shared" si="269"/>
        <v>5.796920278164249</v>
      </c>
      <c r="CZ137" s="449">
        <f t="shared" si="269"/>
        <v>5.8102736396244499</v>
      </c>
    </row>
    <row r="138" spans="1:104" ht="13" x14ac:dyDescent="0.3">
      <c r="A138" s="1496" t="s">
        <v>1087</v>
      </c>
      <c r="B138" s="260">
        <v>2016</v>
      </c>
      <c r="C138" s="874">
        <f t="shared" si="267"/>
        <v>1</v>
      </c>
      <c r="D138" s="1260" t="s">
        <v>268</v>
      </c>
      <c r="E138" s="1497" t="s">
        <v>1052</v>
      </c>
      <c r="F138" s="260">
        <v>22.7322030001394</v>
      </c>
      <c r="G138" s="260">
        <v>23.967615189707661</v>
      </c>
      <c r="H138" s="1069" t="e">
        <f t="shared" ref="H138:BS141" si="272">+H158*$C138</f>
        <v>#N/A</v>
      </c>
      <c r="I138" s="1069" t="e">
        <f t="shared" si="272"/>
        <v>#N/A</v>
      </c>
      <c r="J138" s="1069" t="e">
        <f t="shared" si="272"/>
        <v>#N/A</v>
      </c>
      <c r="K138" s="1069" t="e">
        <f t="shared" si="272"/>
        <v>#N/A</v>
      </c>
      <c r="L138" s="1069">
        <f t="shared" si="272"/>
        <v>2.2148742453355847</v>
      </c>
      <c r="M138" s="1069">
        <f t="shared" si="272"/>
        <v>2.3408877437334223</v>
      </c>
      <c r="N138" s="1069">
        <f t="shared" si="272"/>
        <v>2.3629142410275352</v>
      </c>
      <c r="O138" s="260">
        <f t="shared" si="272"/>
        <v>2.4181318326423913</v>
      </c>
      <c r="P138" s="260">
        <f t="shared" si="272"/>
        <v>2.3501923436687169</v>
      </c>
      <c r="Q138" s="260">
        <f t="shared" si="272"/>
        <v>2.2749877363600257</v>
      </c>
      <c r="R138" s="260">
        <f t="shared" si="272"/>
        <v>2.2671813119268305</v>
      </c>
      <c r="S138" s="260">
        <f t="shared" si="272"/>
        <v>2.0920368648072634</v>
      </c>
      <c r="T138" s="260">
        <f t="shared" si="272"/>
        <v>1.9706687398025258</v>
      </c>
      <c r="U138" s="260">
        <f t="shared" si="272"/>
        <v>2.067600203211962</v>
      </c>
      <c r="V138" s="260">
        <f t="shared" si="272"/>
        <v>2.1142782942327232</v>
      </c>
      <c r="W138" s="260">
        <f t="shared" si="272"/>
        <v>2.1573963846468813</v>
      </c>
      <c r="X138" s="260">
        <f t="shared" si="272"/>
        <v>2.1900363582596567</v>
      </c>
      <c r="Y138" s="260">
        <f t="shared" si="272"/>
        <v>2.1929897559939948</v>
      </c>
      <c r="Z138" s="260">
        <f t="shared" si="272"/>
        <v>2.2028650611910647</v>
      </c>
      <c r="AA138" s="260">
        <f t="shared" si="272"/>
        <v>2.2090827406317772</v>
      </c>
      <c r="AB138" s="260">
        <f t="shared" si="272"/>
        <v>2.2092997907220093</v>
      </c>
      <c r="AC138" s="260">
        <f t="shared" si="272"/>
        <v>2.2079918032786887</v>
      </c>
      <c r="AD138" s="260">
        <f t="shared" si="272"/>
        <v>2.2065492258230841</v>
      </c>
      <c r="AE138" s="260">
        <f t="shared" si="272"/>
        <v>2.1995552842692714</v>
      </c>
      <c r="AF138" s="260">
        <f t="shared" si="272"/>
        <v>2.1903510334996437</v>
      </c>
      <c r="AG138" s="260">
        <f t="shared" si="272"/>
        <v>2.1795345460335755</v>
      </c>
      <c r="AH138" s="260">
        <f t="shared" si="272"/>
        <v>2.1771697426487315</v>
      </c>
      <c r="AI138" s="260">
        <f t="shared" si="272"/>
        <v>2.177831318906295</v>
      </c>
      <c r="AJ138" s="260">
        <f t="shared" si="272"/>
        <v>2.1809505846135182</v>
      </c>
      <c r="AK138" s="260">
        <f t="shared" si="272"/>
        <v>2.1861806387528246</v>
      </c>
      <c r="AL138" s="260">
        <f t="shared" si="272"/>
        <v>2.1973402359685172</v>
      </c>
      <c r="AM138" s="260">
        <f t="shared" si="272"/>
        <v>2.2020565733003745</v>
      </c>
      <c r="AN138" s="260">
        <f t="shared" si="272"/>
        <v>2.2177912831167257</v>
      </c>
      <c r="AO138" s="260">
        <f t="shared" si="272"/>
        <v>2.2206593773221517</v>
      </c>
      <c r="AP138" s="260">
        <f t="shared" si="272"/>
        <v>2.2289385587115755</v>
      </c>
      <c r="AQ138" s="260">
        <f t="shared" si="272"/>
        <v>2.2351116907538557</v>
      </c>
      <c r="AR138" s="260">
        <f t="shared" si="272"/>
        <v>2.2481536525075447</v>
      </c>
      <c r="AS138" s="260">
        <f t="shared" si="272"/>
        <v>2.2492673374683427</v>
      </c>
      <c r="AT138" s="260">
        <f t="shared" si="272"/>
        <v>2.2496910116619402</v>
      </c>
      <c r="AU138" s="260">
        <f t="shared" si="272"/>
        <v>2.2544263053335558</v>
      </c>
      <c r="AV138" s="260">
        <f t="shared" si="272"/>
        <v>2.2540196918457411</v>
      </c>
      <c r="AW138" s="260">
        <f t="shared" si="272"/>
        <v>2.2546357728878843</v>
      </c>
      <c r="AX138" s="260">
        <f t="shared" si="272"/>
        <v>2.2490256441364247</v>
      </c>
      <c r="AY138" s="260">
        <f t="shared" si="272"/>
        <v>2.2531477002168603</v>
      </c>
      <c r="AZ138" s="260">
        <f t="shared" si="272"/>
        <v>2.2540841434009193</v>
      </c>
      <c r="BA138" s="260">
        <f t="shared" si="272"/>
        <v>2.2596705767276806</v>
      </c>
      <c r="BB138" s="260">
        <f t="shared" si="272"/>
        <v>2.2620458060993922</v>
      </c>
      <c r="BC138" s="260">
        <f t="shared" si="272"/>
        <v>2.2703711301923084</v>
      </c>
      <c r="BD138" s="260">
        <f t="shared" si="272"/>
        <v>2.2787270951418623</v>
      </c>
      <c r="BE138" s="260">
        <f t="shared" si="272"/>
        <v>2.2871138137198912</v>
      </c>
      <c r="BF138" s="260">
        <f t="shared" si="272"/>
        <v>2.2955313991132824</v>
      </c>
      <c r="BG138" s="260">
        <f t="shared" si="272"/>
        <v>2.3039799649255008</v>
      </c>
      <c r="BH138" s="260">
        <f t="shared" si="272"/>
        <v>2.3125787529279784</v>
      </c>
      <c r="BI138" s="260">
        <f t="shared" si="272"/>
        <v>2.3212096328567045</v>
      </c>
      <c r="BJ138" s="260">
        <f t="shared" si="272"/>
        <v>2.3298727244834101</v>
      </c>
      <c r="BK138" s="260">
        <f t="shared" si="272"/>
        <v>2.338568148026833</v>
      </c>
      <c r="BL138" s="260">
        <f t="shared" si="272"/>
        <v>2.3472960241543843</v>
      </c>
      <c r="BM138" s="260">
        <f t="shared" si="272"/>
        <v>2.3559838582312191</v>
      </c>
      <c r="BN138" s="260">
        <f t="shared" si="272"/>
        <v>2.3647038478010849</v>
      </c>
      <c r="BO138" s="260">
        <f t="shared" si="272"/>
        <v>2.3734561118781943</v>
      </c>
      <c r="BP138" s="260">
        <f t="shared" si="272"/>
        <v>2.3822407699172565</v>
      </c>
      <c r="BQ138" s="260">
        <f t="shared" si="272"/>
        <v>2.3910579418151077</v>
      </c>
      <c r="BR138" s="260">
        <f t="shared" si="272"/>
        <v>2.3997099382358895</v>
      </c>
      <c r="BS138" s="260">
        <f t="shared" si="272"/>
        <v>2.4083932417365861</v>
      </c>
      <c r="BT138" s="260">
        <f t="shared" si="268"/>
        <v>2.4171079656012542</v>
      </c>
      <c r="BU138" s="260">
        <f t="shared" si="269"/>
        <v>2.4258542235238663</v>
      </c>
      <c r="BV138" s="260">
        <f t="shared" si="269"/>
        <v>2.434632129609795</v>
      </c>
      <c r="BW138" s="260">
        <f t="shared" si="269"/>
        <v>2.4428635118796533</v>
      </c>
      <c r="BX138" s="260">
        <f t="shared" si="269"/>
        <v>2.4511227240845761</v>
      </c>
      <c r="BY138" s="260">
        <f t="shared" si="269"/>
        <v>2.4594098603163279</v>
      </c>
      <c r="BZ138" s="260">
        <f t="shared" si="269"/>
        <v>2.467725014984794</v>
      </c>
      <c r="CA138" s="260">
        <f t="shared" si="269"/>
        <v>2.476068282819055</v>
      </c>
      <c r="CB138" s="260">
        <f t="shared" si="269"/>
        <v>2.4831576550549128</v>
      </c>
      <c r="CC138" s="260">
        <f t="shared" si="269"/>
        <v>2.4902673252765117</v>
      </c>
      <c r="CD138" s="260">
        <f t="shared" si="269"/>
        <v>2.4973973516001715</v>
      </c>
      <c r="CE138" s="260">
        <f t="shared" si="269"/>
        <v>2.5045477923086086</v>
      </c>
      <c r="CF138" s="260">
        <f t="shared" si="269"/>
        <v>2.5117187058514112</v>
      </c>
      <c r="CG138" s="260">
        <f t="shared" si="269"/>
        <v>2.5171937058097216</v>
      </c>
      <c r="CH138" s="260">
        <f t="shared" si="269"/>
        <v>2.5226806400759916</v>
      </c>
      <c r="CI138" s="260">
        <f t="shared" si="269"/>
        <v>2.5281795346644143</v>
      </c>
      <c r="CJ138" s="260">
        <f t="shared" si="269"/>
        <v>2.5336904156458884</v>
      </c>
      <c r="CK138" s="260">
        <f t="shared" si="269"/>
        <v>2.539213309148141</v>
      </c>
      <c r="CL138" s="260">
        <f t="shared" si="269"/>
        <v>2.5429573704375228</v>
      </c>
      <c r="CM138" s="260">
        <f t="shared" si="269"/>
        <v>2.5467069523323964</v>
      </c>
      <c r="CN138" s="260">
        <f t="shared" si="269"/>
        <v>2.5504620629728754</v>
      </c>
      <c r="CO138" s="260">
        <f t="shared" si="269"/>
        <v>2.554222710511076</v>
      </c>
      <c r="CP138" s="260">
        <f t="shared" si="269"/>
        <v>2.5579889031111347</v>
      </c>
      <c r="CQ138" s="260">
        <f t="shared" si="269"/>
        <v>2.5592501421168059</v>
      </c>
      <c r="CR138" s="260">
        <f t="shared" si="269"/>
        <v>2.5605120029875006</v>
      </c>
      <c r="CS138" s="260">
        <f t="shared" si="269"/>
        <v>2.5617744860298348</v>
      </c>
      <c r="CT138" s="260">
        <f t="shared" si="269"/>
        <v>2.5630375915505756</v>
      </c>
      <c r="CU138" s="260">
        <f t="shared" si="269"/>
        <v>2.564301319856642</v>
      </c>
      <c r="CV138" s="260">
        <f t="shared" si="269"/>
        <v>2.5624850697467836</v>
      </c>
      <c r="CW138" s="260">
        <f t="shared" si="269"/>
        <v>2.5606701060553489</v>
      </c>
      <c r="CX138" s="260">
        <f t="shared" si="269"/>
        <v>2.5588564278711901</v>
      </c>
      <c r="CY138" s="260">
        <f t="shared" si="269"/>
        <v>2.5570440342838041</v>
      </c>
      <c r="CZ138" s="449">
        <f t="shared" si="269"/>
        <v>2.555232924383334</v>
      </c>
    </row>
    <row r="139" spans="1:104" ht="13" x14ac:dyDescent="0.3">
      <c r="A139" s="1495" t="s">
        <v>683</v>
      </c>
      <c r="B139" s="260">
        <v>2016</v>
      </c>
      <c r="C139" s="874">
        <f t="shared" si="267"/>
        <v>1</v>
      </c>
      <c r="D139" s="1260" t="s">
        <v>296</v>
      </c>
      <c r="E139" s="874" t="s">
        <v>1071</v>
      </c>
      <c r="F139" s="878"/>
      <c r="G139" s="874"/>
      <c r="H139" s="1069">
        <f t="shared" si="272"/>
        <v>28.373013628420669</v>
      </c>
      <c r="I139" s="1069">
        <f t="shared" si="272"/>
        <v>29.17093293229123</v>
      </c>
      <c r="J139" s="1069">
        <f t="shared" si="272"/>
        <v>30.878569780545078</v>
      </c>
      <c r="K139" s="1069">
        <f t="shared" si="272"/>
        <v>30.682595180991225</v>
      </c>
      <c r="L139" s="1069">
        <f t="shared" si="272"/>
        <v>31.992353762541459</v>
      </c>
      <c r="M139" s="1069">
        <f t="shared" si="272"/>
        <v>31.4429334181984</v>
      </c>
      <c r="N139" s="1069">
        <f t="shared" si="272"/>
        <v>31.156600892671783</v>
      </c>
      <c r="O139" s="260">
        <f t="shared" si="272"/>
        <v>30.676058322376605</v>
      </c>
      <c r="P139" s="260">
        <f t="shared" si="272"/>
        <v>29.679126186318804</v>
      </c>
      <c r="Q139" s="260">
        <f t="shared" si="272"/>
        <v>29.700131988890092</v>
      </c>
      <c r="R139" s="260">
        <f t="shared" si="272"/>
        <v>30.54196479432273</v>
      </c>
      <c r="S139" s="260">
        <f t="shared" si="272"/>
        <v>29.932211922183079</v>
      </c>
      <c r="T139" s="260">
        <f t="shared" si="272"/>
        <v>28.972214109999999</v>
      </c>
      <c r="U139" s="260">
        <f t="shared" si="272"/>
        <v>29.128232055928784</v>
      </c>
      <c r="V139" s="260">
        <f t="shared" si="272"/>
        <v>28.995688380521983</v>
      </c>
      <c r="W139" s="260">
        <f t="shared" si="272"/>
        <v>29.39475155821113</v>
      </c>
      <c r="X139" s="260">
        <f t="shared" si="272"/>
        <v>29.885964346916182</v>
      </c>
      <c r="Y139" s="260">
        <f t="shared" si="272"/>
        <v>30.089071101439163</v>
      </c>
      <c r="Z139" s="260">
        <f t="shared" si="272"/>
        <v>31.081689502737298</v>
      </c>
      <c r="AA139" s="260">
        <f t="shared" si="272"/>
        <v>31.400245105473072</v>
      </c>
      <c r="AB139" s="260">
        <f t="shared" si="272"/>
        <v>31.337976372818122</v>
      </c>
      <c r="AC139" s="260">
        <f t="shared" si="272"/>
        <v>31.854564117923594</v>
      </c>
      <c r="AD139" s="260">
        <f t="shared" si="272"/>
        <v>32.189964324168578</v>
      </c>
      <c r="AE139" s="260">
        <f t="shared" si="272"/>
        <v>32.274661250208517</v>
      </c>
      <c r="AF139" s="260">
        <f t="shared" si="272"/>
        <v>32.347049824843424</v>
      </c>
      <c r="AG139" s="260">
        <f t="shared" si="272"/>
        <v>32.398275541772193</v>
      </c>
      <c r="AH139" s="260">
        <f t="shared" si="272"/>
        <v>32.473329377777105</v>
      </c>
      <c r="AI139" s="260">
        <f t="shared" si="272"/>
        <v>32.424485524938959</v>
      </c>
      <c r="AJ139" s="260">
        <f t="shared" si="272"/>
        <v>32.33705604252286</v>
      </c>
      <c r="AK139" s="260">
        <f t="shared" si="272"/>
        <v>32.213589610409308</v>
      </c>
      <c r="AL139" s="260">
        <f t="shared" si="272"/>
        <v>32.123147965605618</v>
      </c>
      <c r="AM139" s="260">
        <f t="shared" si="272"/>
        <v>32.189031672252469</v>
      </c>
      <c r="AN139" s="260">
        <f t="shared" si="272"/>
        <v>32.20134665837643</v>
      </c>
      <c r="AO139" s="260">
        <f t="shared" si="272"/>
        <v>32.137342472816606</v>
      </c>
      <c r="AP139" s="260">
        <f t="shared" si="272"/>
        <v>32.106067355666433</v>
      </c>
      <c r="AQ139" s="260">
        <f t="shared" si="272"/>
        <v>32.055398007309563</v>
      </c>
      <c r="AR139" s="260">
        <f t="shared" si="272"/>
        <v>31.985796962436115</v>
      </c>
      <c r="AS139" s="260">
        <f t="shared" si="272"/>
        <v>31.883579639374592</v>
      </c>
      <c r="AT139" s="260">
        <f t="shared" si="272"/>
        <v>31.88043762605966</v>
      </c>
      <c r="AU139" s="260">
        <f t="shared" si="272"/>
        <v>31.921825950470875</v>
      </c>
      <c r="AV139" s="260">
        <f t="shared" si="272"/>
        <v>31.967798865652629</v>
      </c>
      <c r="AW139" s="260">
        <f t="shared" si="272"/>
        <v>32.011030694105337</v>
      </c>
      <c r="AX139" s="260">
        <f t="shared" si="272"/>
        <v>32.04019407500644</v>
      </c>
      <c r="AY139" s="260">
        <f t="shared" si="272"/>
        <v>32.084258086774547</v>
      </c>
      <c r="AZ139" s="260">
        <f t="shared" si="272"/>
        <v>32.12290532445671</v>
      </c>
      <c r="BA139" s="260">
        <f t="shared" si="272"/>
        <v>32.1438833578502</v>
      </c>
      <c r="BB139" s="260">
        <f t="shared" si="272"/>
        <v>32.210559439498944</v>
      </c>
      <c r="BC139" s="260">
        <f t="shared" si="272"/>
        <v>32.212518425109167</v>
      </c>
      <c r="BD139" s="260">
        <f t="shared" si="272"/>
        <v>32.214477529861206</v>
      </c>
      <c r="BE139" s="260">
        <f t="shared" si="272"/>
        <v>32.216436753762309</v>
      </c>
      <c r="BF139" s="260">
        <f t="shared" si="272"/>
        <v>32.218396096819724</v>
      </c>
      <c r="BG139" s="260">
        <f t="shared" si="272"/>
        <v>32.220355559040698</v>
      </c>
      <c r="BH139" s="260">
        <f t="shared" si="272"/>
        <v>32.225068562587758</v>
      </c>
      <c r="BI139" s="260">
        <f t="shared" si="272"/>
        <v>32.229782255525173</v>
      </c>
      <c r="BJ139" s="260">
        <f t="shared" si="272"/>
        <v>32.234496637953782</v>
      </c>
      <c r="BK139" s="260">
        <f t="shared" si="272"/>
        <v>32.239211709974448</v>
      </c>
      <c r="BL139" s="260">
        <f t="shared" si="272"/>
        <v>32.243927471688032</v>
      </c>
      <c r="BM139" s="260">
        <f t="shared" si="272"/>
        <v>32.234738373564198</v>
      </c>
      <c r="BN139" s="260">
        <f t="shared" si="272"/>
        <v>32.225551894213289</v>
      </c>
      <c r="BO139" s="260">
        <f t="shared" si="272"/>
        <v>32.216368032888994</v>
      </c>
      <c r="BP139" s="260">
        <f t="shared" si="272"/>
        <v>32.207186788845206</v>
      </c>
      <c r="BQ139" s="260">
        <f t="shared" si="272"/>
        <v>32.198008161336034</v>
      </c>
      <c r="BR139" s="260">
        <f t="shared" si="272"/>
        <v>32.188328675270981</v>
      </c>
      <c r="BS139" s="260">
        <f t="shared" si="272"/>
        <v>32.178652099089362</v>
      </c>
      <c r="BT139" s="260">
        <f t="shared" si="268"/>
        <v>32.168978431916393</v>
      </c>
      <c r="BU139" s="260">
        <f t="shared" si="269"/>
        <v>32.15930767287756</v>
      </c>
      <c r="BV139" s="260">
        <f t="shared" si="269"/>
        <v>32.14963982109861</v>
      </c>
      <c r="BW139" s="260">
        <f t="shared" si="269"/>
        <v>32.135484213462775</v>
      </c>
      <c r="BX139" s="260">
        <f t="shared" si="269"/>
        <v>32.121334838594358</v>
      </c>
      <c r="BY139" s="260">
        <f t="shared" si="269"/>
        <v>32.107191693749044</v>
      </c>
      <c r="BZ139" s="260">
        <f t="shared" si="269"/>
        <v>32.093054776183735</v>
      </c>
      <c r="CA139" s="260">
        <f t="shared" si="269"/>
        <v>32.078924083156537</v>
      </c>
      <c r="CB139" s="260">
        <f t="shared" si="269"/>
        <v>32.05322936592912</v>
      </c>
      <c r="CC139" s="260">
        <f t="shared" si="269"/>
        <v>32.027555229768936</v>
      </c>
      <c r="CD139" s="260">
        <f t="shared" si="269"/>
        <v>32.001901658190874</v>
      </c>
      <c r="CE139" s="260">
        <f t="shared" si="269"/>
        <v>31.976268634723027</v>
      </c>
      <c r="CF139" s="260">
        <f t="shared" si="269"/>
        <v>31.950656142906677</v>
      </c>
      <c r="CG139" s="260">
        <f t="shared" si="269"/>
        <v>31.915373500092528</v>
      </c>
      <c r="CH139" s="260">
        <f t="shared" si="269"/>
        <v>31.880129819385399</v>
      </c>
      <c r="CI139" s="260">
        <f t="shared" si="269"/>
        <v>31.844925057760001</v>
      </c>
      <c r="CJ139" s="260">
        <f t="shared" si="269"/>
        <v>31.809759172238564</v>
      </c>
      <c r="CK139" s="260">
        <f t="shared" si="269"/>
        <v>31.774632119890772</v>
      </c>
      <c r="CL139" s="260">
        <f t="shared" si="269"/>
        <v>31.736335048107414</v>
      </c>
      <c r="CM139" s="260">
        <f t="shared" si="269"/>
        <v>31.698084134709202</v>
      </c>
      <c r="CN139" s="260">
        <f t="shared" si="269"/>
        <v>31.659879324062725</v>
      </c>
      <c r="CO139" s="260">
        <f t="shared" si="269"/>
        <v>31.621720560601634</v>
      </c>
      <c r="CP139" s="260">
        <f t="shared" si="269"/>
        <v>31.583607788826551</v>
      </c>
      <c r="CQ139" s="260">
        <f t="shared" si="269"/>
        <v>31.539463246970023</v>
      </c>
      <c r="CR139" s="260">
        <f t="shared" si="269"/>
        <v>31.495380406125889</v>
      </c>
      <c r="CS139" s="260">
        <f t="shared" si="269"/>
        <v>31.451359180054389</v>
      </c>
      <c r="CT139" s="260">
        <f t="shared" si="269"/>
        <v>31.407399482636293</v>
      </c>
      <c r="CU139" s="260">
        <f t="shared" si="269"/>
        <v>31.363501227872742</v>
      </c>
      <c r="CV139" s="260">
        <f t="shared" si="269"/>
        <v>31.320648715953933</v>
      </c>
      <c r="CW139" s="260">
        <f t="shared" si="269"/>
        <v>31.277854754187555</v>
      </c>
      <c r="CX139" s="260">
        <f t="shared" si="269"/>
        <v>31.235119262575491</v>
      </c>
      <c r="CY139" s="260">
        <f t="shared" si="269"/>
        <v>31.192442161228929</v>
      </c>
      <c r="CZ139" s="449">
        <f t="shared" si="269"/>
        <v>31.1498233703682</v>
      </c>
    </row>
    <row r="140" spans="1:104" ht="13" x14ac:dyDescent="0.3">
      <c r="A140" s="1495" t="s">
        <v>698</v>
      </c>
      <c r="B140" s="260">
        <v>2016</v>
      </c>
      <c r="C140" s="874">
        <f t="shared" si="267"/>
        <v>1</v>
      </c>
      <c r="D140" s="1260" t="s">
        <v>296</v>
      </c>
      <c r="E140" s="874" t="s">
        <v>1071</v>
      </c>
      <c r="F140" s="885"/>
      <c r="G140" s="1494"/>
      <c r="H140" s="1069">
        <f t="shared" si="272"/>
        <v>18.232352698801531</v>
      </c>
      <c r="I140" s="1069">
        <f t="shared" si="272"/>
        <v>19.279059481202857</v>
      </c>
      <c r="J140" s="1069">
        <f t="shared" si="272"/>
        <v>20.106975671052609</v>
      </c>
      <c r="K140" s="1069">
        <f t="shared" si="272"/>
        <v>20.31728323383771</v>
      </c>
      <c r="L140" s="1069">
        <f t="shared" si="272"/>
        <v>21.702415417864383</v>
      </c>
      <c r="M140" s="1069">
        <f t="shared" si="272"/>
        <v>21.137326303769196</v>
      </c>
      <c r="N140" s="1069">
        <f t="shared" si="272"/>
        <v>20.699724047437488</v>
      </c>
      <c r="O140" s="260">
        <f t="shared" si="272"/>
        <v>20.430734156114106</v>
      </c>
      <c r="P140" s="260">
        <f t="shared" si="272"/>
        <v>19.619402543384187</v>
      </c>
      <c r="Q140" s="260">
        <f t="shared" si="272"/>
        <v>19.94482547791937</v>
      </c>
      <c r="R140" s="260">
        <f t="shared" si="272"/>
        <v>20.190684361237558</v>
      </c>
      <c r="S140" s="260">
        <f t="shared" si="272"/>
        <v>19.439058682545589</v>
      </c>
      <c r="T140" s="260">
        <f t="shared" si="272"/>
        <v>18.777772519999996</v>
      </c>
      <c r="U140" s="260">
        <f t="shared" si="272"/>
        <v>19.537493744407882</v>
      </c>
      <c r="V140" s="260">
        <f t="shared" si="272"/>
        <v>19.094688812726531</v>
      </c>
      <c r="W140" s="260">
        <f t="shared" si="272"/>
        <v>19.340880484069093</v>
      </c>
      <c r="X140" s="260">
        <f t="shared" si="272"/>
        <v>19.700726786066333</v>
      </c>
      <c r="Y140" s="260">
        <f t="shared" si="272"/>
        <v>19.809231927025674</v>
      </c>
      <c r="Z140" s="260">
        <f t="shared" si="272"/>
        <v>20.448628319255093</v>
      </c>
      <c r="AA140" s="260">
        <f t="shared" si="272"/>
        <v>20.513438149254636</v>
      </c>
      <c r="AB140" s="260">
        <f t="shared" si="272"/>
        <v>20.459361398826221</v>
      </c>
      <c r="AC140" s="260">
        <f t="shared" si="272"/>
        <v>20.950622526197662</v>
      </c>
      <c r="AD140" s="260">
        <f t="shared" si="272"/>
        <v>21.163384692376518</v>
      </c>
      <c r="AE140" s="260">
        <f t="shared" si="272"/>
        <v>21.285322295688569</v>
      </c>
      <c r="AF140" s="260">
        <f t="shared" si="272"/>
        <v>21.423623959296947</v>
      </c>
      <c r="AG140" s="260">
        <f t="shared" si="272"/>
        <v>21.53228264660833</v>
      </c>
      <c r="AH140" s="260">
        <f t="shared" si="272"/>
        <v>21.607771530610695</v>
      </c>
      <c r="AI140" s="260">
        <f t="shared" si="272"/>
        <v>21.635145433038627</v>
      </c>
      <c r="AJ140" s="260">
        <f t="shared" si="272"/>
        <v>21.585785019942069</v>
      </c>
      <c r="AK140" s="260">
        <f t="shared" si="272"/>
        <v>21.508628925857963</v>
      </c>
      <c r="AL140" s="260">
        <f t="shared" si="272"/>
        <v>21.446118499871098</v>
      </c>
      <c r="AM140" s="260">
        <f t="shared" si="272"/>
        <v>21.521952389257063</v>
      </c>
      <c r="AN140" s="260">
        <f t="shared" si="272"/>
        <v>21.600204159779199</v>
      </c>
      <c r="AO140" s="260">
        <f t="shared" si="272"/>
        <v>21.583872325260458</v>
      </c>
      <c r="AP140" s="260">
        <f t="shared" si="272"/>
        <v>21.588666383585327</v>
      </c>
      <c r="AQ140" s="260">
        <f t="shared" si="272"/>
        <v>21.605374501448264</v>
      </c>
      <c r="AR140" s="260">
        <f t="shared" si="272"/>
        <v>21.554715579078266</v>
      </c>
      <c r="AS140" s="260">
        <f t="shared" si="272"/>
        <v>21.491324631109631</v>
      </c>
      <c r="AT140" s="260">
        <f t="shared" si="272"/>
        <v>21.516251270074765</v>
      </c>
      <c r="AU140" s="260">
        <f t="shared" si="272"/>
        <v>21.58191413536343</v>
      </c>
      <c r="AV140" s="260">
        <f t="shared" si="272"/>
        <v>21.663232093841465</v>
      </c>
      <c r="AW140" s="260">
        <f t="shared" si="272"/>
        <v>21.742367229796333</v>
      </c>
      <c r="AX140" s="260">
        <f t="shared" si="272"/>
        <v>21.822824570449338</v>
      </c>
      <c r="AY140" s="260">
        <f t="shared" si="272"/>
        <v>21.895024529503647</v>
      </c>
      <c r="AZ140" s="260">
        <f t="shared" si="272"/>
        <v>21.976239175929997</v>
      </c>
      <c r="BA140" s="260">
        <f t="shared" si="272"/>
        <v>22.046603213478718</v>
      </c>
      <c r="BB140" s="260">
        <f t="shared" si="272"/>
        <v>22.114819497732821</v>
      </c>
      <c r="BC140" s="260">
        <f t="shared" si="272"/>
        <v>22.13487665280584</v>
      </c>
      <c r="BD140" s="260">
        <f t="shared" si="272"/>
        <v>22.15495199882406</v>
      </c>
      <c r="BE140" s="260">
        <f t="shared" si="272"/>
        <v>22.175045552285859</v>
      </c>
      <c r="BF140" s="260">
        <f t="shared" si="272"/>
        <v>22.195157329704575</v>
      </c>
      <c r="BG140" s="260">
        <f t="shared" si="272"/>
        <v>22.215287347608523</v>
      </c>
      <c r="BH140" s="260">
        <f t="shared" si="272"/>
        <v>22.237407284551185</v>
      </c>
      <c r="BI140" s="260">
        <f t="shared" si="272"/>
        <v>22.259549246489641</v>
      </c>
      <c r="BJ140" s="260">
        <f t="shared" si="272"/>
        <v>22.281713255354351</v>
      </c>
      <c r="BK140" s="260">
        <f t="shared" si="272"/>
        <v>22.303899333097611</v>
      </c>
      <c r="BL140" s="260">
        <f t="shared" si="272"/>
        <v>22.326107501693581</v>
      </c>
      <c r="BM140" s="260">
        <f t="shared" si="272"/>
        <v>22.336823207612067</v>
      </c>
      <c r="BN140" s="260">
        <f t="shared" si="272"/>
        <v>22.347544056673097</v>
      </c>
      <c r="BO140" s="260">
        <f t="shared" si="272"/>
        <v>22.358270051345187</v>
      </c>
      <c r="BP140" s="260">
        <f t="shared" si="272"/>
        <v>22.369001194098043</v>
      </c>
      <c r="BQ140" s="260">
        <f t="shared" si="272"/>
        <v>22.379737487402554</v>
      </c>
      <c r="BR140" s="260">
        <f t="shared" si="272"/>
        <v>22.390100389733625</v>
      </c>
      <c r="BS140" s="260">
        <f t="shared" si="272"/>
        <v>22.400468090590362</v>
      </c>
      <c r="BT140" s="260">
        <f t="shared" si="268"/>
        <v>22.410840592194713</v>
      </c>
      <c r="BU140" s="260">
        <f t="shared" si="269"/>
        <v>22.421217896769658</v>
      </c>
      <c r="BV140" s="260">
        <f t="shared" si="269"/>
        <v>22.431600006539206</v>
      </c>
      <c r="BW140" s="260">
        <f t="shared" si="269"/>
        <v>22.438377931004013</v>
      </c>
      <c r="BX140" s="260">
        <f t="shared" si="269"/>
        <v>22.44515790348412</v>
      </c>
      <c r="BY140" s="260">
        <f t="shared" si="269"/>
        <v>22.451939924598356</v>
      </c>
      <c r="BZ140" s="260">
        <f t="shared" si="269"/>
        <v>22.458723994965737</v>
      </c>
      <c r="CA140" s="260">
        <f t="shared" si="269"/>
        <v>22.465510115205461</v>
      </c>
      <c r="CB140" s="260">
        <f t="shared" si="269"/>
        <v>22.462969438648798</v>
      </c>
      <c r="CC140" s="260">
        <f t="shared" si="269"/>
        <v>22.46042904942313</v>
      </c>
      <c r="CD140" s="260">
        <f t="shared" si="269"/>
        <v>22.45788894749596</v>
      </c>
      <c r="CE140" s="260">
        <f t="shared" si="269"/>
        <v>22.455349132834797</v>
      </c>
      <c r="CF140" s="260">
        <f t="shared" si="269"/>
        <v>22.452809605407158</v>
      </c>
      <c r="CG140" s="260">
        <f t="shared" si="269"/>
        <v>22.442624812220661</v>
      </c>
      <c r="CH140" s="260">
        <f t="shared" si="269"/>
        <v>22.432444638946507</v>
      </c>
      <c r="CI140" s="260">
        <f t="shared" si="269"/>
        <v>22.422269083489063</v>
      </c>
      <c r="CJ140" s="260">
        <f t="shared" si="269"/>
        <v>22.412098143753649</v>
      </c>
      <c r="CK140" s="260">
        <f t="shared" si="269"/>
        <v>22.401931817646531</v>
      </c>
      <c r="CL140" s="260">
        <f t="shared" si="269"/>
        <v>22.389459823741635</v>
      </c>
      <c r="CM140" s="260">
        <f t="shared" si="269"/>
        <v>22.376994773462549</v>
      </c>
      <c r="CN140" s="260">
        <f t="shared" si="269"/>
        <v>22.364536662943497</v>
      </c>
      <c r="CO140" s="260">
        <f t="shared" si="269"/>
        <v>22.352085488320853</v>
      </c>
      <c r="CP140" s="260">
        <f t="shared" si="269"/>
        <v>22.339641245733144</v>
      </c>
      <c r="CQ140" s="260">
        <f t="shared" si="269"/>
        <v>22.322592014179389</v>
      </c>
      <c r="CR140" s="260">
        <f t="shared" si="269"/>
        <v>22.305555794307125</v>
      </c>
      <c r="CS140" s="260">
        <f t="shared" si="269"/>
        <v>22.288532576186064</v>
      </c>
      <c r="CT140" s="260">
        <f t="shared" si="269"/>
        <v>22.271522349893491</v>
      </c>
      <c r="CU140" s="260">
        <f t="shared" si="269"/>
        <v>22.254525105514261</v>
      </c>
      <c r="CV140" s="260">
        <f t="shared" si="269"/>
        <v>22.238544472899552</v>
      </c>
      <c r="CW140" s="260">
        <f t="shared" si="269"/>
        <v>22.222575315731635</v>
      </c>
      <c r="CX140" s="260">
        <f t="shared" si="269"/>
        <v>22.206617625770171</v>
      </c>
      <c r="CY140" s="260">
        <f t="shared" si="269"/>
        <v>22.190671394780733</v>
      </c>
      <c r="CZ140" s="449">
        <f t="shared" ref="CZ140" si="273">+CZ160*$C140</f>
        <v>22.174736614534808</v>
      </c>
    </row>
    <row r="141" spans="1:104" ht="13.5" thickBot="1" x14ac:dyDescent="0.35">
      <c r="A141" s="1498" t="s">
        <v>684</v>
      </c>
      <c r="B141" s="443">
        <v>2016</v>
      </c>
      <c r="C141" s="1393">
        <f t="shared" si="267"/>
        <v>1</v>
      </c>
      <c r="D141" s="1499" t="s">
        <v>296</v>
      </c>
      <c r="E141" s="1393" t="s">
        <v>1071</v>
      </c>
      <c r="F141" s="1394"/>
      <c r="G141" s="1032"/>
      <c r="H141" s="1395">
        <f t="shared" si="272"/>
        <v>31.081820315099751</v>
      </c>
      <c r="I141" s="1395">
        <f t="shared" si="272"/>
        <v>31.795307521355493</v>
      </c>
      <c r="J141" s="1395">
        <f t="shared" si="272"/>
        <v>33.946842042036877</v>
      </c>
      <c r="K141" s="1395">
        <f t="shared" si="272"/>
        <v>33.862138723062856</v>
      </c>
      <c r="L141" s="1395">
        <f t="shared" si="272"/>
        <v>35.110516897292094</v>
      </c>
      <c r="M141" s="1395">
        <f t="shared" si="272"/>
        <v>35.620882248372396</v>
      </c>
      <c r="N141" s="1395">
        <f t="shared" si="272"/>
        <v>35.284315436843215</v>
      </c>
      <c r="O141" s="443">
        <f t="shared" si="272"/>
        <v>35.109707376782602</v>
      </c>
      <c r="P141" s="443">
        <f t="shared" si="272"/>
        <v>34.944303180720262</v>
      </c>
      <c r="Q141" s="443">
        <f t="shared" si="272"/>
        <v>35.113313940081568</v>
      </c>
      <c r="R141" s="443">
        <f t="shared" si="272"/>
        <v>35.603854676435802</v>
      </c>
      <c r="S141" s="443">
        <f t="shared" si="272"/>
        <v>35.586699324775935</v>
      </c>
      <c r="T141" s="443">
        <f t="shared" si="272"/>
        <v>34.861101349999998</v>
      </c>
      <c r="U141" s="443">
        <f t="shared" si="272"/>
        <v>34.664653819323334</v>
      </c>
      <c r="V141" s="443">
        <f t="shared" si="272"/>
        <v>34.410290069910978</v>
      </c>
      <c r="W141" s="443">
        <f t="shared" si="272"/>
        <v>34.908531869398402</v>
      </c>
      <c r="X141" s="443">
        <f t="shared" si="272"/>
        <v>35.616671532127199</v>
      </c>
      <c r="Y141" s="443">
        <f t="shared" si="272"/>
        <v>35.947520321196222</v>
      </c>
      <c r="Z141" s="443">
        <f t="shared" si="272"/>
        <v>36.987705865849776</v>
      </c>
      <c r="AA141" s="443">
        <f t="shared" si="272"/>
        <v>37.546039262370911</v>
      </c>
      <c r="AB141" s="443">
        <f t="shared" si="272"/>
        <v>37.510823122184988</v>
      </c>
      <c r="AC141" s="443">
        <f t="shared" si="272"/>
        <v>38.008797637281816</v>
      </c>
      <c r="AD141" s="443">
        <f t="shared" si="272"/>
        <v>38.419808048103611</v>
      </c>
      <c r="AE141" s="443">
        <f t="shared" si="272"/>
        <v>38.480927078752217</v>
      </c>
      <c r="AF141" s="443">
        <f t="shared" si="272"/>
        <v>38.529894147798792</v>
      </c>
      <c r="AG141" s="443">
        <f t="shared" si="272"/>
        <v>38.610432052895767</v>
      </c>
      <c r="AH141" s="443">
        <f t="shared" si="272"/>
        <v>38.669048846696292</v>
      </c>
      <c r="AI141" s="443">
        <f t="shared" si="272"/>
        <v>38.631731396248163</v>
      </c>
      <c r="AJ141" s="443">
        <f t="shared" si="272"/>
        <v>38.567872226687491</v>
      </c>
      <c r="AK141" s="443">
        <f t="shared" si="272"/>
        <v>38.465126969563705</v>
      </c>
      <c r="AL141" s="443">
        <f t="shared" si="272"/>
        <v>38.413723063041203</v>
      </c>
      <c r="AM141" s="443">
        <f t="shared" si="272"/>
        <v>38.515467425425761</v>
      </c>
      <c r="AN141" s="443">
        <f t="shared" si="272"/>
        <v>38.527084818246614</v>
      </c>
      <c r="AO141" s="443">
        <f t="shared" si="272"/>
        <v>38.521472793861179</v>
      </c>
      <c r="AP141" s="443">
        <f t="shared" si="272"/>
        <v>38.546973809920992</v>
      </c>
      <c r="AQ141" s="443">
        <f t="shared" si="272"/>
        <v>38.560691565187064</v>
      </c>
      <c r="AR141" s="443">
        <f t="shared" si="272"/>
        <v>38.568356561168315</v>
      </c>
      <c r="AS141" s="443">
        <f t="shared" si="272"/>
        <v>38.569368829711408</v>
      </c>
      <c r="AT141" s="443">
        <f t="shared" si="272"/>
        <v>38.651143635977618</v>
      </c>
      <c r="AU141" s="443">
        <f t="shared" si="272"/>
        <v>38.781520601750053</v>
      </c>
      <c r="AV141" s="443">
        <f t="shared" si="272"/>
        <v>38.929117506558889</v>
      </c>
      <c r="AW141" s="443">
        <f t="shared" si="272"/>
        <v>39.08758776785308</v>
      </c>
      <c r="AX141" s="443">
        <f t="shared" si="272"/>
        <v>39.228047610742941</v>
      </c>
      <c r="AY141" s="443">
        <f t="shared" si="272"/>
        <v>39.393119417357944</v>
      </c>
      <c r="AZ141" s="443">
        <f t="shared" si="272"/>
        <v>39.595269824540118</v>
      </c>
      <c r="BA141" s="443">
        <f t="shared" si="272"/>
        <v>39.769550621009692</v>
      </c>
      <c r="BB141" s="443">
        <f t="shared" si="272"/>
        <v>39.980674011616443</v>
      </c>
      <c r="BC141" s="443">
        <f t="shared" si="272"/>
        <v>39.983105560972888</v>
      </c>
      <c r="BD141" s="443">
        <f t="shared" si="272"/>
        <v>39.985537258211586</v>
      </c>
      <c r="BE141" s="443">
        <f t="shared" si="272"/>
        <v>39.987969103341534</v>
      </c>
      <c r="BF141" s="443">
        <f t="shared" si="272"/>
        <v>39.990401096371727</v>
      </c>
      <c r="BG141" s="443">
        <f t="shared" si="272"/>
        <v>39.99283323731116</v>
      </c>
      <c r="BH141" s="443">
        <f t="shared" si="272"/>
        <v>39.998683153044055</v>
      </c>
      <c r="BI141" s="443">
        <f t="shared" si="272"/>
        <v>40.00453392446812</v>
      </c>
      <c r="BJ141" s="443">
        <f t="shared" si="272"/>
        <v>40.010385551708517</v>
      </c>
      <c r="BK141" s="443">
        <f t="shared" si="272"/>
        <v>40.016238034890421</v>
      </c>
      <c r="BL141" s="443">
        <f t="shared" si="272"/>
        <v>40.022091374139045</v>
      </c>
      <c r="BM141" s="443">
        <f t="shared" si="272"/>
        <v>40.01068560090993</v>
      </c>
      <c r="BN141" s="443">
        <f t="shared" si="272"/>
        <v>39.999283078177193</v>
      </c>
      <c r="BO141" s="443">
        <f t="shared" si="272"/>
        <v>39.987883805014484</v>
      </c>
      <c r="BP141" s="443">
        <f t="shared" si="272"/>
        <v>39.976487780495717</v>
      </c>
      <c r="BQ141" s="443">
        <f t="shared" si="272"/>
        <v>39.965095003695069</v>
      </c>
      <c r="BR141" s="443">
        <f t="shared" si="272"/>
        <v>39.953080546830584</v>
      </c>
      <c r="BS141" s="443">
        <f t="shared" ref="BS141" si="274">+BS161*$C141</f>
        <v>39.941069701797218</v>
      </c>
      <c r="BT141" s="443">
        <f t="shared" si="268"/>
        <v>39.929062467509169</v>
      </c>
      <c r="BU141" s="443">
        <f t="shared" ref="BU141:CZ141" si="275">+BU161*$C141</f>
        <v>39.917058842880955</v>
      </c>
      <c r="BV141" s="443">
        <f t="shared" si="275"/>
        <v>39.905058826827435</v>
      </c>
      <c r="BW141" s="443">
        <f t="shared" si="275"/>
        <v>39.887488478960996</v>
      </c>
      <c r="BX141" s="443">
        <f t="shared" si="275"/>
        <v>39.869925867384971</v>
      </c>
      <c r="BY141" s="443">
        <f t="shared" si="275"/>
        <v>39.852370988693046</v>
      </c>
      <c r="BZ141" s="443">
        <f t="shared" si="275"/>
        <v>39.8348238394804</v>
      </c>
      <c r="CA141" s="443">
        <f t="shared" si="275"/>
        <v>39.817284416343718</v>
      </c>
      <c r="CB141" s="443">
        <f t="shared" si="275"/>
        <v>39.785391393336162</v>
      </c>
      <c r="CC141" s="443">
        <f t="shared" si="275"/>
        <v>39.75352391614198</v>
      </c>
      <c r="CD141" s="443">
        <f t="shared" si="275"/>
        <v>39.721681964299371</v>
      </c>
      <c r="CE141" s="443">
        <f t="shared" si="275"/>
        <v>39.689865517362925</v>
      </c>
      <c r="CF141" s="443">
        <f t="shared" si="275"/>
        <v>39.658074554903607</v>
      </c>
      <c r="CG141" s="443">
        <f t="shared" si="275"/>
        <v>39.614280722534119</v>
      </c>
      <c r="CH141" s="443">
        <f t="shared" si="275"/>
        <v>39.57053525105394</v>
      </c>
      <c r="CI141" s="443">
        <f t="shared" si="275"/>
        <v>39.526838087058842</v>
      </c>
      <c r="CJ141" s="443">
        <f t="shared" si="275"/>
        <v>39.48318917720357</v>
      </c>
      <c r="CK141" s="443">
        <f t="shared" si="275"/>
        <v>39.439588468201791</v>
      </c>
      <c r="CL141" s="443">
        <f t="shared" si="275"/>
        <v>39.392053039782866</v>
      </c>
      <c r="CM141" s="443">
        <f t="shared" si="275"/>
        <v>39.344574904480901</v>
      </c>
      <c r="CN141" s="443">
        <f t="shared" si="275"/>
        <v>39.297153993242112</v>
      </c>
      <c r="CO141" s="443">
        <f t="shared" si="275"/>
        <v>39.249790237095944</v>
      </c>
      <c r="CP141" s="443">
        <f t="shared" si="275"/>
        <v>39.202483567154964</v>
      </c>
      <c r="CQ141" s="443">
        <f t="shared" si="275"/>
        <v>39.147690090479308</v>
      </c>
      <c r="CR141" s="443">
        <f t="shared" si="275"/>
        <v>39.092973198877175</v>
      </c>
      <c r="CS141" s="443">
        <f t="shared" si="275"/>
        <v>39.038332785305279</v>
      </c>
      <c r="CT141" s="443">
        <f t="shared" si="275"/>
        <v>38.983768742869955</v>
      </c>
      <c r="CU141" s="443">
        <f t="shared" si="275"/>
        <v>38.929280964826951</v>
      </c>
      <c r="CV141" s="443">
        <f t="shared" si="275"/>
        <v>38.876091192919297</v>
      </c>
      <c r="CW141" s="443">
        <f t="shared" si="275"/>
        <v>38.822974095147039</v>
      </c>
      <c r="CX141" s="443">
        <f t="shared" si="275"/>
        <v>38.769929572214203</v>
      </c>
      <c r="CY141" s="443">
        <f t="shared" si="275"/>
        <v>38.716957524960492</v>
      </c>
      <c r="CZ141" s="444">
        <f t="shared" si="275"/>
        <v>38.66405785436109</v>
      </c>
    </row>
    <row r="142" spans="1:104" x14ac:dyDescent="0.25">
      <c r="A142" t="s">
        <v>1421</v>
      </c>
    </row>
    <row r="150" spans="1:104" ht="13" x14ac:dyDescent="0.3">
      <c r="A150" s="1500" t="s">
        <v>1290</v>
      </c>
      <c r="B150" s="1501" t="s">
        <v>1420</v>
      </c>
      <c r="C150" s="1500"/>
      <c r="D150" s="1500"/>
      <c r="E150" s="1500"/>
      <c r="F150" s="1500"/>
      <c r="G150" s="1500"/>
      <c r="H150" s="1500"/>
      <c r="I150" s="1500"/>
      <c r="J150" s="1500"/>
      <c r="K150" s="1500"/>
      <c r="L150" s="1500"/>
      <c r="M150" s="1500"/>
      <c r="N150" s="1500"/>
      <c r="O150" s="1500"/>
      <c r="P150" s="1500"/>
      <c r="Q150" s="1500"/>
      <c r="R150" s="1500"/>
      <c r="S150" s="1500"/>
      <c r="T150" s="1500"/>
      <c r="U150" s="1500"/>
      <c r="V150" s="1500"/>
      <c r="W150" s="1500"/>
      <c r="X150" s="1500"/>
      <c r="Y150" s="1500"/>
      <c r="Z150" s="1500"/>
      <c r="AA150" s="1500"/>
      <c r="AB150" s="1500"/>
      <c r="AC150" s="1500"/>
      <c r="AD150" s="1500"/>
      <c r="AE150" s="1500"/>
      <c r="AF150" s="1500"/>
      <c r="AG150" s="1500"/>
      <c r="AH150" s="1500"/>
      <c r="AI150" s="1500"/>
      <c r="AJ150" s="1500"/>
      <c r="AK150" s="1500"/>
      <c r="AL150" s="1500"/>
      <c r="AM150" s="1500"/>
      <c r="AN150" s="1500"/>
      <c r="AO150" s="1500"/>
      <c r="AP150" s="1500"/>
      <c r="AQ150" s="1500"/>
      <c r="AR150" s="1500"/>
      <c r="AS150" s="1500"/>
      <c r="AT150" s="1500"/>
      <c r="AU150" s="1500"/>
      <c r="AV150" s="1500"/>
      <c r="AW150" s="1500"/>
      <c r="AX150" s="1500"/>
      <c r="AY150" s="1500"/>
      <c r="AZ150" s="1500"/>
      <c r="BA150" s="1500"/>
      <c r="BB150" s="1500" t="s">
        <v>1291</v>
      </c>
      <c r="BC150" s="1500"/>
      <c r="BD150" s="1500"/>
      <c r="BE150" s="1500"/>
      <c r="BF150" s="1500"/>
      <c r="BG150" s="1500"/>
      <c r="BH150" s="1500"/>
      <c r="BI150" s="1500"/>
      <c r="BJ150" s="1500"/>
      <c r="BK150" s="1500"/>
      <c r="BL150" s="1500"/>
      <c r="BM150" s="1500"/>
      <c r="BN150" s="1500"/>
      <c r="BO150" s="1500"/>
      <c r="BP150" s="1500"/>
      <c r="BQ150" s="1500"/>
      <c r="BR150" s="1500"/>
      <c r="BS150" s="1500"/>
      <c r="BT150" s="1500"/>
      <c r="BU150" s="1500"/>
      <c r="BV150" s="1500"/>
      <c r="BW150" s="1500"/>
      <c r="BX150" s="1500"/>
      <c r="BY150" s="1500"/>
      <c r="BZ150" s="1500"/>
      <c r="CA150" s="1500"/>
      <c r="CB150" s="1500"/>
      <c r="CC150" s="1500"/>
      <c r="CD150" s="1500"/>
      <c r="CE150" s="1500"/>
      <c r="CF150" s="1500"/>
      <c r="CG150" s="1500"/>
      <c r="CH150" s="1500"/>
      <c r="CI150" s="1500"/>
      <c r="CJ150" s="1500"/>
      <c r="CK150" s="1500"/>
      <c r="CL150" s="1500"/>
      <c r="CM150" s="1500"/>
      <c r="CN150" s="1500"/>
      <c r="CO150" s="1500"/>
      <c r="CP150" s="1500"/>
      <c r="CQ150" s="1500"/>
      <c r="CR150" s="1500"/>
      <c r="CS150" s="1500"/>
      <c r="CT150" s="1500"/>
      <c r="CU150" s="1500"/>
      <c r="CV150" s="1500"/>
      <c r="CW150" s="1500"/>
      <c r="CX150" s="1500"/>
      <c r="CY150" s="1500"/>
      <c r="CZ150" s="1500"/>
    </row>
    <row r="151" spans="1:104" x14ac:dyDescent="0.25">
      <c r="A151" s="1502" t="s">
        <v>1084</v>
      </c>
      <c r="B151" s="1503" t="s">
        <v>678</v>
      </c>
      <c r="C151" s="1503" t="s">
        <v>679</v>
      </c>
      <c r="D151" s="1503" t="s">
        <v>690</v>
      </c>
      <c r="E151" s="1503" t="s">
        <v>691</v>
      </c>
      <c r="F151" s="1503" t="s">
        <v>680</v>
      </c>
      <c r="G151" s="1503" t="s">
        <v>692</v>
      </c>
      <c r="H151" s="1503">
        <v>2004</v>
      </c>
      <c r="I151" s="1503">
        <v>2005</v>
      </c>
      <c r="J151" s="1503">
        <v>2006</v>
      </c>
      <c r="K151" s="1503">
        <v>2007</v>
      </c>
      <c r="L151" s="1503">
        <v>2008</v>
      </c>
      <c r="M151" s="1503">
        <v>2009</v>
      </c>
      <c r="N151" s="1503">
        <v>2010</v>
      </c>
      <c r="O151" s="1503">
        <v>2011</v>
      </c>
      <c r="P151" s="1503">
        <v>2012</v>
      </c>
      <c r="Q151" s="1503">
        <v>2013</v>
      </c>
      <c r="R151" s="1503">
        <v>2014</v>
      </c>
      <c r="S151" s="1503">
        <v>2015</v>
      </c>
      <c r="T151" s="1503">
        <v>2016</v>
      </c>
      <c r="U151" s="1503">
        <v>2017</v>
      </c>
      <c r="V151" s="1503">
        <v>2018</v>
      </c>
      <c r="W151" s="1503">
        <v>2019</v>
      </c>
      <c r="X151" s="1503">
        <v>2020</v>
      </c>
      <c r="Y151" s="1503">
        <v>2021</v>
      </c>
      <c r="Z151" s="1503">
        <v>2022</v>
      </c>
      <c r="AA151" s="1503">
        <v>2023</v>
      </c>
      <c r="AB151" s="1503">
        <v>2024</v>
      </c>
      <c r="AC151" s="1503">
        <v>2025</v>
      </c>
      <c r="AD151" s="1503">
        <v>2026</v>
      </c>
      <c r="AE151" s="1503">
        <v>2027</v>
      </c>
      <c r="AF151" s="1503">
        <v>2028</v>
      </c>
      <c r="AG151" s="1503">
        <v>2029</v>
      </c>
      <c r="AH151" s="1503">
        <v>2030</v>
      </c>
      <c r="AI151" s="1503">
        <v>2031</v>
      </c>
      <c r="AJ151" s="1503">
        <v>2032</v>
      </c>
      <c r="AK151" s="1503">
        <v>2033</v>
      </c>
      <c r="AL151" s="1503">
        <v>2034</v>
      </c>
      <c r="AM151" s="1503">
        <v>2035</v>
      </c>
      <c r="AN151" s="1503">
        <v>2036</v>
      </c>
      <c r="AO151" s="1503">
        <v>2037</v>
      </c>
      <c r="AP151" s="1503">
        <v>2038</v>
      </c>
      <c r="AQ151" s="1503">
        <v>2039</v>
      </c>
      <c r="AR151" s="1503">
        <v>2040</v>
      </c>
      <c r="AS151" s="1503">
        <v>2041</v>
      </c>
      <c r="AT151" s="1503">
        <v>2042</v>
      </c>
      <c r="AU151" s="1503">
        <v>2043</v>
      </c>
      <c r="AV151" s="1503">
        <v>2044</v>
      </c>
      <c r="AW151" s="1503">
        <v>2045</v>
      </c>
      <c r="AX151" s="1503">
        <v>2046</v>
      </c>
      <c r="AY151" s="1503">
        <v>2047</v>
      </c>
      <c r="AZ151" s="1503">
        <v>2048</v>
      </c>
      <c r="BA151" s="1503">
        <v>2049</v>
      </c>
      <c r="BB151" s="1503">
        <v>2050</v>
      </c>
      <c r="BC151" s="1503">
        <v>2051</v>
      </c>
      <c r="BD151" s="1503">
        <v>2052</v>
      </c>
      <c r="BE151" s="1503">
        <v>2053</v>
      </c>
      <c r="BF151" s="1503">
        <v>2054</v>
      </c>
      <c r="BG151" s="1503">
        <v>2055</v>
      </c>
      <c r="BH151" s="1503">
        <v>2056</v>
      </c>
      <c r="BI151" s="1503">
        <v>2057</v>
      </c>
      <c r="BJ151" s="1503">
        <v>2058</v>
      </c>
      <c r="BK151" s="1503">
        <v>2059</v>
      </c>
      <c r="BL151" s="1503">
        <v>2060</v>
      </c>
      <c r="BM151" s="1503">
        <v>2061</v>
      </c>
      <c r="BN151" s="1503">
        <v>2062</v>
      </c>
      <c r="BO151" s="1503">
        <v>2063</v>
      </c>
      <c r="BP151" s="1503">
        <v>2064</v>
      </c>
      <c r="BQ151" s="1503">
        <v>2065</v>
      </c>
      <c r="BR151" s="1503">
        <v>2066</v>
      </c>
      <c r="BS151" s="1503">
        <v>2067</v>
      </c>
      <c r="BT151" s="1503">
        <v>2068</v>
      </c>
      <c r="BU151" s="1503">
        <v>2069</v>
      </c>
      <c r="BV151" s="1503">
        <v>2070</v>
      </c>
      <c r="BW151" s="1503">
        <v>2071</v>
      </c>
      <c r="BX151" s="1503">
        <v>2072</v>
      </c>
      <c r="BY151" s="1503">
        <v>2073</v>
      </c>
      <c r="BZ151" s="1503">
        <v>2074</v>
      </c>
      <c r="CA151" s="1503">
        <v>2075</v>
      </c>
      <c r="CB151" s="1503">
        <v>2076</v>
      </c>
      <c r="CC151" s="1503">
        <v>2077</v>
      </c>
      <c r="CD151" s="1503">
        <v>2078</v>
      </c>
      <c r="CE151" s="1503">
        <v>2079</v>
      </c>
      <c r="CF151" s="1503">
        <v>2080</v>
      </c>
      <c r="CG151" s="1503">
        <v>2081</v>
      </c>
      <c r="CH151" s="1503">
        <v>2082</v>
      </c>
      <c r="CI151" s="1503">
        <v>2083</v>
      </c>
      <c r="CJ151" s="1503">
        <v>2084</v>
      </c>
      <c r="CK151" s="1503">
        <v>2085</v>
      </c>
      <c r="CL151" s="1503">
        <v>2086</v>
      </c>
      <c r="CM151" s="1503">
        <v>2087</v>
      </c>
      <c r="CN151" s="1503">
        <v>2088</v>
      </c>
      <c r="CO151" s="1503">
        <v>2089</v>
      </c>
      <c r="CP151" s="1503">
        <v>2090</v>
      </c>
      <c r="CQ151" s="1503">
        <v>2091</v>
      </c>
      <c r="CR151" s="1503">
        <v>2092</v>
      </c>
      <c r="CS151" s="1503">
        <v>2093</v>
      </c>
      <c r="CT151" s="1503">
        <v>2094</v>
      </c>
      <c r="CU151" s="1503">
        <v>2095</v>
      </c>
      <c r="CV151" s="1503">
        <v>2096</v>
      </c>
      <c r="CW151" s="1503">
        <v>2097</v>
      </c>
      <c r="CX151" s="1503">
        <v>2098</v>
      </c>
      <c r="CY151" s="1503">
        <v>2099</v>
      </c>
      <c r="CZ151" s="1504">
        <v>2100</v>
      </c>
    </row>
    <row r="152" spans="1:104" x14ac:dyDescent="0.25">
      <c r="A152" s="1505" t="s">
        <v>1090</v>
      </c>
      <c r="B152" s="1506"/>
      <c r="C152" s="1506"/>
      <c r="D152" s="1506"/>
      <c r="E152" s="1506"/>
      <c r="F152" s="1506"/>
      <c r="G152" s="1506"/>
      <c r="H152" s="1506"/>
      <c r="I152" s="1506"/>
      <c r="J152" s="1506"/>
      <c r="K152" s="1506"/>
      <c r="L152" s="1506"/>
      <c r="M152" s="1506"/>
      <c r="N152" s="1506"/>
      <c r="O152" s="1506"/>
      <c r="P152" s="1506"/>
      <c r="Q152" s="1506"/>
      <c r="R152" s="1506"/>
      <c r="S152" s="1506"/>
      <c r="T152" s="1506"/>
      <c r="U152" s="1506"/>
      <c r="V152" s="1506"/>
      <c r="W152" s="1506"/>
      <c r="X152" s="1506"/>
      <c r="Y152" s="1506"/>
      <c r="Z152" s="1506"/>
      <c r="AA152" s="1506"/>
      <c r="AB152" s="1506"/>
      <c r="AC152" s="1506"/>
      <c r="AD152" s="1506"/>
      <c r="AE152" s="1506"/>
      <c r="AF152" s="1506"/>
      <c r="AG152" s="1506"/>
      <c r="AH152" s="1506"/>
      <c r="AI152" s="1506"/>
      <c r="AJ152" s="1506"/>
      <c r="AK152" s="1506"/>
      <c r="AL152" s="1506"/>
      <c r="AM152" s="1506"/>
      <c r="AN152" s="1506"/>
      <c r="AO152" s="1506"/>
      <c r="AP152" s="1506"/>
      <c r="AQ152" s="1506"/>
      <c r="AR152" s="1506"/>
      <c r="AS152" s="1506"/>
      <c r="AT152" s="1506"/>
      <c r="AU152" s="1506"/>
      <c r="AV152" s="1506"/>
      <c r="AW152" s="1506"/>
      <c r="AX152" s="1506"/>
      <c r="AY152" s="1506"/>
      <c r="AZ152" s="1506"/>
      <c r="BA152" s="1506"/>
      <c r="BB152" s="1506"/>
      <c r="BC152" s="1506"/>
      <c r="BD152" s="1506"/>
      <c r="BE152" s="1506"/>
      <c r="BF152" s="1506"/>
      <c r="BG152" s="1506"/>
      <c r="BH152" s="1506"/>
      <c r="BI152" s="1506"/>
      <c r="BJ152" s="1506"/>
      <c r="BK152" s="1506"/>
      <c r="BL152" s="1506"/>
      <c r="BM152" s="1506"/>
      <c r="BN152" s="1506"/>
      <c r="BO152" s="1506"/>
      <c r="BP152" s="1506"/>
      <c r="BQ152" s="1506"/>
      <c r="BR152" s="1506"/>
      <c r="BS152" s="1506"/>
      <c r="BT152" s="1506"/>
      <c r="BU152" s="1506"/>
      <c r="BV152" s="1506"/>
      <c r="BW152" s="1506"/>
      <c r="BX152" s="1506"/>
      <c r="BY152" s="1506"/>
      <c r="BZ152" s="1506"/>
      <c r="CA152" s="1506"/>
      <c r="CB152" s="1506"/>
      <c r="CC152" s="1506"/>
      <c r="CD152" s="1506"/>
      <c r="CE152" s="1506"/>
      <c r="CF152" s="1506"/>
      <c r="CG152" s="1506"/>
      <c r="CH152" s="1506"/>
      <c r="CI152" s="1506"/>
      <c r="CJ152" s="1506"/>
      <c r="CK152" s="1506"/>
      <c r="CL152" s="1506"/>
      <c r="CM152" s="1506"/>
      <c r="CN152" s="1506"/>
      <c r="CO152" s="1506"/>
      <c r="CP152" s="1506"/>
      <c r="CQ152" s="1506"/>
      <c r="CR152" s="1506"/>
      <c r="CS152" s="1506"/>
      <c r="CT152" s="1506"/>
      <c r="CU152" s="1506"/>
      <c r="CV152" s="1506"/>
      <c r="CW152" s="1506"/>
      <c r="CX152" s="1506"/>
      <c r="CY152" s="1506"/>
      <c r="CZ152" s="1507"/>
    </row>
    <row r="153" spans="1:104" x14ac:dyDescent="0.25">
      <c r="A153" s="1505" t="s">
        <v>681</v>
      </c>
      <c r="B153" s="1506"/>
      <c r="C153" s="1506"/>
      <c r="D153" s="1506"/>
      <c r="E153" s="1506"/>
      <c r="F153" s="1506"/>
      <c r="G153" s="1506"/>
      <c r="H153" s="1506">
        <v>13.604875014867702</v>
      </c>
      <c r="I153" s="1506">
        <v>15.571757228276402</v>
      </c>
      <c r="J153" s="1506">
        <v>16.331995797204218</v>
      </c>
      <c r="K153" s="1506">
        <v>15.155672177020728</v>
      </c>
      <c r="L153" s="1506">
        <v>15.783516201764996</v>
      </c>
      <c r="M153" s="1506">
        <v>13.69149010361817</v>
      </c>
      <c r="N153" s="1506">
        <v>12.691188457250465</v>
      </c>
      <c r="O153" s="1506">
        <v>12.04142243701838</v>
      </c>
      <c r="P153" s="1506">
        <v>11.415954621928984</v>
      </c>
      <c r="Q153" s="1506">
        <v>10.886628367710442</v>
      </c>
      <c r="R153" s="1506">
        <v>11.368469484946878</v>
      </c>
      <c r="S153" s="1506">
        <v>9.7183315387998359</v>
      </c>
      <c r="T153" s="1506">
        <v>9.390001099467705</v>
      </c>
      <c r="U153" s="1506">
        <v>10.023002570479671</v>
      </c>
      <c r="V153" s="1506">
        <v>10.033707215541167</v>
      </c>
      <c r="W153" s="1506">
        <v>10.158951752324048</v>
      </c>
      <c r="X153" s="1506">
        <v>10.289627280447673</v>
      </c>
      <c r="Y153" s="1506">
        <v>10.38663350570965</v>
      </c>
      <c r="Z153" s="1506">
        <v>10.458822090960101</v>
      </c>
      <c r="AA153" s="1506">
        <v>10.541361785535555</v>
      </c>
      <c r="AB153" s="1506">
        <v>10.671303703310535</v>
      </c>
      <c r="AC153" s="1506">
        <v>10.821196220864106</v>
      </c>
      <c r="AD153" s="1506">
        <v>10.961130973142659</v>
      </c>
      <c r="AE153" s="1506">
        <v>11.387951919139837</v>
      </c>
      <c r="AF153" s="1506">
        <v>11.524366479125279</v>
      </c>
      <c r="AG153" s="1506">
        <v>11.653679994237272</v>
      </c>
      <c r="AH153" s="1506">
        <v>11.727599293307653</v>
      </c>
      <c r="AI153" s="1506">
        <v>11.827238554162054</v>
      </c>
      <c r="AJ153" s="1506">
        <v>11.877874728924342</v>
      </c>
      <c r="AK153" s="1506">
        <v>11.891573527850655</v>
      </c>
      <c r="AL153" s="1506">
        <v>11.9827791131466</v>
      </c>
      <c r="AM153" s="1506">
        <v>12.163475682807357</v>
      </c>
      <c r="AN153" s="1506">
        <v>12.259449735369497</v>
      </c>
      <c r="AO153" s="1506">
        <v>12.356256919064013</v>
      </c>
      <c r="AP153" s="1506">
        <v>12.41256198723101</v>
      </c>
      <c r="AQ153" s="1506">
        <v>12.490714236969412</v>
      </c>
      <c r="AR153" s="1506">
        <v>12.496378391289182</v>
      </c>
      <c r="AS153" s="1506">
        <v>12.55376491863939</v>
      </c>
      <c r="AT153" s="1506">
        <v>12.651412816002184</v>
      </c>
      <c r="AU153" s="1506">
        <v>12.770777096192051</v>
      </c>
      <c r="AV153" s="1506">
        <v>12.886454368298935</v>
      </c>
      <c r="AW153" s="1506">
        <v>13.010888521557151</v>
      </c>
      <c r="AX153" s="1506">
        <v>13.118997475015544</v>
      </c>
      <c r="AY153" s="1506">
        <v>13.217679440712152</v>
      </c>
      <c r="AZ153" s="1506">
        <v>13.363983523149482</v>
      </c>
      <c r="BA153" s="1506">
        <v>13.453606254075613</v>
      </c>
      <c r="BB153" s="1506">
        <v>13.593337225701765</v>
      </c>
      <c r="BC153" s="1506">
        <v>13.668907227280409</v>
      </c>
      <c r="BD153" s="1506">
        <v>13.744897348292845</v>
      </c>
      <c r="BE153" s="1506">
        <v>13.821309924326409</v>
      </c>
      <c r="BF153" s="1506">
        <v>13.898147303952761</v>
      </c>
      <c r="BG153" s="1506">
        <v>13.975411848800078</v>
      </c>
      <c r="BH153" s="1506">
        <v>14.050424531225174</v>
      </c>
      <c r="BI153" s="1506">
        <v>14.12583984239463</v>
      </c>
      <c r="BJ153" s="1506">
        <v>14.201659943408417</v>
      </c>
      <c r="BK153" s="1506">
        <v>14.277887006966159</v>
      </c>
      <c r="BL153" s="1506">
        <v>14.354523217429389</v>
      </c>
      <c r="BM153" s="1506">
        <v>14.422221698840277</v>
      </c>
      <c r="BN153" s="1506">
        <v>14.490239458315362</v>
      </c>
      <c r="BO153" s="1506">
        <v>14.558578001626712</v>
      </c>
      <c r="BP153" s="1506">
        <v>14.627238841647882</v>
      </c>
      <c r="BQ153" s="1506">
        <v>14.696223498387408</v>
      </c>
      <c r="BR153" s="1506">
        <v>14.75529333521281</v>
      </c>
      <c r="BS153" s="1506">
        <v>14.814600596681556</v>
      </c>
      <c r="BT153" s="1506">
        <v>14.874146237095607</v>
      </c>
      <c r="BU153" s="1506">
        <v>14.933931214592636</v>
      </c>
      <c r="BV153" s="1506">
        <v>14.993956491161448</v>
      </c>
      <c r="BW153" s="1506">
        <v>15.043740835540882</v>
      </c>
      <c r="BX153" s="1506">
        <v>15.093690478582264</v>
      </c>
      <c r="BY153" s="1506">
        <v>15.143805969125756</v>
      </c>
      <c r="BZ153" s="1506">
        <v>15.19408785783383</v>
      </c>
      <c r="CA153" s="1506">
        <v>15.244536697197322</v>
      </c>
      <c r="CB153" s="1506">
        <v>15.277067444573643</v>
      </c>
      <c r="CC153" s="1506">
        <v>15.309667610230484</v>
      </c>
      <c r="CD153" s="1506">
        <v>15.342337342301477</v>
      </c>
      <c r="CE153" s="1506">
        <v>15.375076789236356</v>
      </c>
      <c r="CF153" s="1506">
        <v>15.407886099801638</v>
      </c>
      <c r="CG153" s="1506">
        <v>15.41853907481957</v>
      </c>
      <c r="CH153" s="1506">
        <v>15.42919941527855</v>
      </c>
      <c r="CI153" s="1506">
        <v>15.439867126271025</v>
      </c>
      <c r="CJ153" s="1506">
        <v>15.450542212892964</v>
      </c>
      <c r="CK153" s="1506">
        <v>15.461224680243861</v>
      </c>
      <c r="CL153" s="1506">
        <v>15.464845562477739</v>
      </c>
      <c r="CM153" s="1506">
        <v>15.468467292690251</v>
      </c>
      <c r="CN153" s="1506">
        <v>15.472089871079984</v>
      </c>
      <c r="CO153" s="1506">
        <v>15.475713297845573</v>
      </c>
      <c r="CP153" s="1506">
        <v>15.479337573185701</v>
      </c>
      <c r="CQ153" s="1506">
        <v>15.484830510437597</v>
      </c>
      <c r="CR153" s="1506">
        <v>15.490325396891745</v>
      </c>
      <c r="CS153" s="1506">
        <v>15.49582223323983</v>
      </c>
      <c r="CT153" s="1506">
        <v>15.501321020173785</v>
      </c>
      <c r="CU153" s="1506">
        <v>15.506821758385787</v>
      </c>
      <c r="CV153" s="1506">
        <v>15.515287417782641</v>
      </c>
      <c r="CW153" s="1506">
        <v>15.523757698847955</v>
      </c>
      <c r="CX153" s="1506">
        <v>15.532232604104841</v>
      </c>
      <c r="CY153" s="1506">
        <v>15.540712136077792</v>
      </c>
      <c r="CZ153" s="1507">
        <v>15.549196297292674</v>
      </c>
    </row>
    <row r="154" spans="1:104" x14ac:dyDescent="0.25">
      <c r="A154" s="1505" t="s">
        <v>1085</v>
      </c>
      <c r="B154" s="1506"/>
      <c r="C154" s="1506"/>
      <c r="D154" s="1506"/>
      <c r="E154" s="1506"/>
      <c r="F154" s="1506"/>
      <c r="G154" s="1506"/>
      <c r="H154" s="1506">
        <v>11.934322920018829</v>
      </c>
      <c r="I154" s="1506">
        <v>13.90423046997279</v>
      </c>
      <c r="J154" s="1506">
        <v>14.274140536522257</v>
      </c>
      <c r="K154" s="1506">
        <v>13.139550648884942</v>
      </c>
      <c r="L154" s="1506">
        <v>13.897221248926272</v>
      </c>
      <c r="M154" s="1506">
        <v>11.345666428533674</v>
      </c>
      <c r="N154" s="1506">
        <v>10.551848524158197</v>
      </c>
      <c r="O154" s="1506">
        <v>9.7270239269114924</v>
      </c>
      <c r="P154" s="1506">
        <v>8.6825570363966911</v>
      </c>
      <c r="Q154" s="1506">
        <v>8.5236392646415098</v>
      </c>
      <c r="R154" s="1506">
        <v>9.2232797097563566</v>
      </c>
      <c r="S154" s="1506">
        <v>7.6085885488542795</v>
      </c>
      <c r="T154" s="1506">
        <v>6.813801352724405</v>
      </c>
      <c r="U154" s="1506">
        <v>7.4731047451509687</v>
      </c>
      <c r="V154" s="1506">
        <v>7.9843107853990691</v>
      </c>
      <c r="W154" s="1506">
        <v>8.5650780622071245</v>
      </c>
      <c r="X154" s="1506">
        <v>9.1477570858798014</v>
      </c>
      <c r="Y154" s="1506">
        <v>9.2514909161219876</v>
      </c>
      <c r="Z154" s="1506">
        <v>9.3094669856386769</v>
      </c>
      <c r="AA154" s="1506">
        <v>9.3761326413005577</v>
      </c>
      <c r="AB154" s="1506">
        <v>9.4891655040111615</v>
      </c>
      <c r="AC154" s="1506">
        <v>9.6143446414218783</v>
      </c>
      <c r="AD154" s="1506">
        <v>9.7258827967425425</v>
      </c>
      <c r="AE154" s="1506">
        <v>10.087086372666475</v>
      </c>
      <c r="AF154" s="1506">
        <v>10.198695614261233</v>
      </c>
      <c r="AG154" s="1506">
        <v>10.304737378868989</v>
      </c>
      <c r="AH154" s="1506">
        <v>10.357640731866367</v>
      </c>
      <c r="AI154" s="1506">
        <v>10.427655972763532</v>
      </c>
      <c r="AJ154" s="1506">
        <v>10.453569289213085</v>
      </c>
      <c r="AK154" s="1506">
        <v>10.441948105124277</v>
      </c>
      <c r="AL154" s="1506">
        <v>10.506270757192036</v>
      </c>
      <c r="AM154" s="1506">
        <v>10.658282593530579</v>
      </c>
      <c r="AN154" s="1506">
        <v>10.722901912315555</v>
      </c>
      <c r="AO154" s="1506">
        <v>10.786351624937444</v>
      </c>
      <c r="AP154" s="1506">
        <v>10.817805879498341</v>
      </c>
      <c r="AQ154" s="1506">
        <v>10.86596540847121</v>
      </c>
      <c r="AR154" s="1506">
        <v>10.838793391061706</v>
      </c>
      <c r="AS154" s="1506">
        <v>10.868085675073171</v>
      </c>
      <c r="AT154" s="1506">
        <v>10.937640276914211</v>
      </c>
      <c r="AU154" s="1506">
        <v>11.027299024885883</v>
      </c>
      <c r="AV154" s="1506">
        <v>11.114692490256441</v>
      </c>
      <c r="AW154" s="1506">
        <v>11.212257927541287</v>
      </c>
      <c r="AX154" s="1506">
        <v>11.293368314098968</v>
      </c>
      <c r="AY154" s="1506">
        <v>11.35816487466068</v>
      </c>
      <c r="AZ154" s="1506">
        <v>11.46581792814789</v>
      </c>
      <c r="BA154" s="1506">
        <v>11.521194135666732</v>
      </c>
      <c r="BB154" s="1506">
        <v>11.628119265707223</v>
      </c>
      <c r="BC154" s="1506">
        <v>11.692763949840026</v>
      </c>
      <c r="BD154" s="1506">
        <v>11.757768015837698</v>
      </c>
      <c r="BE154" s="1506">
        <v>11.823133461626696</v>
      </c>
      <c r="BF154" s="1506">
        <v>11.888862296240635</v>
      </c>
      <c r="BG154" s="1506">
        <v>11.954956539882032</v>
      </c>
      <c r="BH154" s="1506">
        <v>12.019124477688386</v>
      </c>
      <c r="BI154" s="1506">
        <v>12.083636835336717</v>
      </c>
      <c r="BJ154" s="1506">
        <v>12.148495461492134</v>
      </c>
      <c r="BK154" s="1506">
        <v>12.213702214742405</v>
      </c>
      <c r="BL154" s="1506">
        <v>12.279258963651227</v>
      </c>
      <c r="BM154" s="1506">
        <v>12.337170130194249</v>
      </c>
      <c r="BN154" s="1506">
        <v>12.395354416085945</v>
      </c>
      <c r="BO154" s="1506">
        <v>12.453813109405683</v>
      </c>
      <c r="BP154" s="1506">
        <v>12.512547504307637</v>
      </c>
      <c r="BQ154" s="1506">
        <v>12.571558901049444</v>
      </c>
      <c r="BR154" s="1506">
        <v>12.622088884688262</v>
      </c>
      <c r="BS154" s="1506">
        <v>12.672821967979766</v>
      </c>
      <c r="BT154" s="1506">
        <v>12.723758967260437</v>
      </c>
      <c r="BU154" s="1506">
        <v>12.774900702147928</v>
      </c>
      <c r="BV154" s="1506">
        <v>12.826247995554251</v>
      </c>
      <c r="BW154" s="1506">
        <v>12.868834910334423</v>
      </c>
      <c r="BX154" s="1506">
        <v>12.911563226193937</v>
      </c>
      <c r="BY154" s="1506">
        <v>12.954433412625956</v>
      </c>
      <c r="BZ154" s="1506">
        <v>12.997445940682496</v>
      </c>
      <c r="CA154" s="1506">
        <v>13.040601282979605</v>
      </c>
      <c r="CB154" s="1506">
        <v>13.06842899033459</v>
      </c>
      <c r="CC154" s="1506">
        <v>13.096316080020177</v>
      </c>
      <c r="CD154" s="1506">
        <v>13.124262678753999</v>
      </c>
      <c r="CE154" s="1506">
        <v>13.152268913524093</v>
      </c>
      <c r="CF154" s="1506">
        <v>13.180334911589481</v>
      </c>
      <c r="CG154" s="1506">
        <v>13.189447763127433</v>
      </c>
      <c r="CH154" s="1506">
        <v>13.198566915268799</v>
      </c>
      <c r="CI154" s="1506">
        <v>13.207692372369801</v>
      </c>
      <c r="CJ154" s="1506">
        <v>13.216824138789674</v>
      </c>
      <c r="CK154" s="1506">
        <v>13.225962218890665</v>
      </c>
      <c r="CL154" s="1506">
        <v>13.22905962240266</v>
      </c>
      <c r="CM154" s="1506">
        <v>13.232157751299196</v>
      </c>
      <c r="CN154" s="1506">
        <v>13.23525660575015</v>
      </c>
      <c r="CO154" s="1506">
        <v>13.23835618592544</v>
      </c>
      <c r="CP154" s="1506">
        <v>13.241456491995026</v>
      </c>
      <c r="CQ154" s="1506">
        <v>13.246155303510076</v>
      </c>
      <c r="CR154" s="1506">
        <v>13.250855782427021</v>
      </c>
      <c r="CS154" s="1506">
        <v>13.255557929337549</v>
      </c>
      <c r="CT154" s="1506">
        <v>13.260261744833558</v>
      </c>
      <c r="CU154" s="1506">
        <v>13.264967229507157</v>
      </c>
      <c r="CV154" s="1506">
        <v>13.272208990341527</v>
      </c>
      <c r="CW154" s="1506">
        <v>13.279454704679821</v>
      </c>
      <c r="CX154" s="1506">
        <v>13.286704374680379</v>
      </c>
      <c r="CY154" s="1506">
        <v>13.293958002502723</v>
      </c>
      <c r="CZ154" s="1507">
        <v>13.30121559030755</v>
      </c>
    </row>
    <row r="155" spans="1:104" x14ac:dyDescent="0.25">
      <c r="A155" s="1505" t="s">
        <v>283</v>
      </c>
      <c r="B155" s="1506"/>
      <c r="C155" s="1506"/>
      <c r="D155" s="1506"/>
      <c r="E155" s="1506"/>
      <c r="F155" s="1506"/>
      <c r="G155" s="1506"/>
      <c r="H155" s="1506">
        <v>8.2641705904266125</v>
      </c>
      <c r="I155" s="1506">
        <v>10.495609596381577</v>
      </c>
      <c r="J155" s="1506">
        <v>9.3614571685358463</v>
      </c>
      <c r="K155" s="1506">
        <v>8.8987432965993278</v>
      </c>
      <c r="L155" s="1506">
        <v>10.965509816201024</v>
      </c>
      <c r="M155" s="1506">
        <v>6.0111731674040234</v>
      </c>
      <c r="N155" s="1506">
        <v>6.1171751211856922</v>
      </c>
      <c r="O155" s="1506">
        <v>5.6004077154944953</v>
      </c>
      <c r="P155" s="1506">
        <v>4.1590520124961925</v>
      </c>
      <c r="Q155" s="1506">
        <v>4.894763142071362</v>
      </c>
      <c r="R155" s="1506">
        <v>5.8241384234641265</v>
      </c>
      <c r="S155" s="1506">
        <v>3.5390282601113117</v>
      </c>
      <c r="T155" s="1506">
        <v>3.3168400539876552</v>
      </c>
      <c r="U155" s="1506">
        <v>3.8686572087168831</v>
      </c>
      <c r="V155" s="1506">
        <v>4.230424735748624</v>
      </c>
      <c r="W155" s="1506">
        <v>4.6374903322667231</v>
      </c>
      <c r="X155" s="1506">
        <v>5.0398775041324821</v>
      </c>
      <c r="Y155" s="1506">
        <v>5.0452222441273262</v>
      </c>
      <c r="Z155" s="1506">
        <v>4.9894479534735598</v>
      </c>
      <c r="AA155" s="1506">
        <v>5.0008757828968315</v>
      </c>
      <c r="AB155" s="1506">
        <v>5.0866427943161305</v>
      </c>
      <c r="AC155" s="1506">
        <v>5.1985543895300337</v>
      </c>
      <c r="AD155" s="1506">
        <v>5.3142743134013735</v>
      </c>
      <c r="AE155" s="1506">
        <v>5.4069765017212355</v>
      </c>
      <c r="AF155" s="1506">
        <v>5.498883471588238</v>
      </c>
      <c r="AG155" s="1506">
        <v>5.5761078084954727</v>
      </c>
      <c r="AH155" s="1506">
        <v>5.5953977798334869</v>
      </c>
      <c r="AI155" s="1506">
        <v>5.6194116710392619</v>
      </c>
      <c r="AJ155" s="1506">
        <v>5.6053299540498323</v>
      </c>
      <c r="AK155" s="1506">
        <v>5.5496627667157004</v>
      </c>
      <c r="AL155" s="1506">
        <v>5.5482476759527453</v>
      </c>
      <c r="AM155" s="1506">
        <v>5.6344516310034729</v>
      </c>
      <c r="AN155" s="1506">
        <v>5.6381945602887429</v>
      </c>
      <c r="AO155" s="1506">
        <v>5.6485162872871211</v>
      </c>
      <c r="AP155" s="1506">
        <v>5.6430123140383071</v>
      </c>
      <c r="AQ155" s="1506">
        <v>5.6644386648670784</v>
      </c>
      <c r="AR155" s="1506">
        <v>5.6215300420072483</v>
      </c>
      <c r="AS155" s="1506">
        <v>5.6260767200982693</v>
      </c>
      <c r="AT155" s="1506">
        <v>5.6802473044084865</v>
      </c>
      <c r="AU155" s="1506">
        <v>5.7631623345111542</v>
      </c>
      <c r="AV155" s="1506">
        <v>5.819991545472468</v>
      </c>
      <c r="AW155" s="1506">
        <v>5.8947240715184783</v>
      </c>
      <c r="AX155" s="1506">
        <v>5.9518546882819487</v>
      </c>
      <c r="AY155" s="1506">
        <v>6.0145186606208574</v>
      </c>
      <c r="AZ155" s="1506">
        <v>6.1247620979360331</v>
      </c>
      <c r="BA155" s="1506">
        <v>6.1606322318436177</v>
      </c>
      <c r="BB155" s="1506">
        <v>6.238633778680942</v>
      </c>
      <c r="BC155" s="1506">
        <v>6.2733164733478626</v>
      </c>
      <c r="BD155" s="1506">
        <v>6.3081919809530058</v>
      </c>
      <c r="BE155" s="1506">
        <v>6.3432613734093088</v>
      </c>
      <c r="BF155" s="1506">
        <v>6.3785257285888406</v>
      </c>
      <c r="BG155" s="1506">
        <v>6.4139861303559274</v>
      </c>
      <c r="BH155" s="1506">
        <v>6.4484130445592944</v>
      </c>
      <c r="BI155" s="1506">
        <v>6.4830247443854354</v>
      </c>
      <c r="BJ155" s="1506">
        <v>6.5178222216666768</v>
      </c>
      <c r="BK155" s="1506">
        <v>6.5528064735589808</v>
      </c>
      <c r="BL155" s="1506">
        <v>6.5879785025705191</v>
      </c>
      <c r="BM155" s="1506">
        <v>6.6190485794679574</v>
      </c>
      <c r="BN155" s="1506">
        <v>6.6502651883672899</v>
      </c>
      <c r="BO155" s="1506">
        <v>6.6816290203394662</v>
      </c>
      <c r="BP155" s="1506">
        <v>6.7131407697146503</v>
      </c>
      <c r="BQ155" s="1506">
        <v>6.7448011340975915</v>
      </c>
      <c r="BR155" s="1506">
        <v>6.7719111125525773</v>
      </c>
      <c r="BS155" s="1506">
        <v>6.7991300565526132</v>
      </c>
      <c r="BT155" s="1506">
        <v>6.8264584040725946</v>
      </c>
      <c r="BU155" s="1506">
        <v>6.8538965948478108</v>
      </c>
      <c r="BV155" s="1506">
        <v>6.8814450703810159</v>
      </c>
      <c r="BW155" s="1506">
        <v>6.904293491437457</v>
      </c>
      <c r="BX155" s="1506">
        <v>6.9272177759701634</v>
      </c>
      <c r="BY155" s="1506">
        <v>6.9502181758681845</v>
      </c>
      <c r="BZ155" s="1506">
        <v>6.9732949438569127</v>
      </c>
      <c r="CA155" s="1506">
        <v>6.996448333500866</v>
      </c>
      <c r="CB155" s="1506">
        <v>7.0113782521851409</v>
      </c>
      <c r="CC155" s="1506">
        <v>7.0263400302445289</v>
      </c>
      <c r="CD155" s="1506">
        <v>7.0413337356646508</v>
      </c>
      <c r="CE155" s="1506">
        <v>7.0563594365762032</v>
      </c>
      <c r="CF155" s="1506">
        <v>7.0714172012552687</v>
      </c>
      <c r="CG155" s="1506">
        <v>7.0763063619291211</v>
      </c>
      <c r="CH155" s="1506">
        <v>7.0811989029567863</v>
      </c>
      <c r="CI155" s="1506">
        <v>7.0860948266754322</v>
      </c>
      <c r="CJ155" s="1506">
        <v>7.090994135423843</v>
      </c>
      <c r="CK155" s="1506">
        <v>7.0958968315424205</v>
      </c>
      <c r="CL155" s="1506">
        <v>7.0975586278944007</v>
      </c>
      <c r="CM155" s="1506">
        <v>7.0992208134244059</v>
      </c>
      <c r="CN155" s="1506">
        <v>7.1008833882235782</v>
      </c>
      <c r="CO155" s="1506">
        <v>7.1025463523830812</v>
      </c>
      <c r="CP155" s="1506">
        <v>7.1042097059940996</v>
      </c>
      <c r="CQ155" s="1506">
        <v>7.1067306780935082</v>
      </c>
      <c r="CR155" s="1506">
        <v>7.1092525447752264</v>
      </c>
      <c r="CS155" s="1506">
        <v>7.1117753063567024</v>
      </c>
      <c r="CT155" s="1506">
        <v>7.1142989631554965</v>
      </c>
      <c r="CU155" s="1506">
        <v>7.1168235154892816</v>
      </c>
      <c r="CV155" s="1506">
        <v>7.1207088122192239</v>
      </c>
      <c r="CW155" s="1506">
        <v>7.1245962300542702</v>
      </c>
      <c r="CX155" s="1506">
        <v>7.1284857701523974</v>
      </c>
      <c r="CY155" s="1506">
        <v>7.1323774336722154</v>
      </c>
      <c r="CZ155" s="1507">
        <v>7.1362712217729669</v>
      </c>
    </row>
    <row r="156" spans="1:104" x14ac:dyDescent="0.25">
      <c r="A156" s="1505" t="s">
        <v>1086</v>
      </c>
      <c r="B156" s="1506"/>
      <c r="C156" s="1506"/>
      <c r="D156" s="1506"/>
      <c r="E156" s="1506"/>
      <c r="F156" s="1506"/>
      <c r="G156" s="1506"/>
      <c r="H156" s="1506">
        <v>8.4160389626855991</v>
      </c>
      <c r="I156" s="1506">
        <v>10.630483084185546</v>
      </c>
      <c r="J156" s="1506">
        <v>10.241695834954719</v>
      </c>
      <c r="K156" s="1506">
        <v>9.4549147526367854</v>
      </c>
      <c r="L156" s="1506">
        <v>10.431438353650302</v>
      </c>
      <c r="M156" s="1506">
        <v>7.3081429877632402</v>
      </c>
      <c r="N156" s="1506">
        <v>6.8860004096407268</v>
      </c>
      <c r="O156" s="1506">
        <v>6.1462564207083838</v>
      </c>
      <c r="P156" s="1506">
        <v>5.0701845410069568</v>
      </c>
      <c r="Q156" s="1506">
        <v>5.147940545971605</v>
      </c>
      <c r="R156" s="1506">
        <v>5.9174075441245835</v>
      </c>
      <c r="S156" s="1506">
        <v>4.3672641892083037</v>
      </c>
      <c r="T156" s="1506">
        <v>3.755553639162041</v>
      </c>
      <c r="U156" s="1506">
        <v>3.3468214009493336</v>
      </c>
      <c r="V156" s="1506">
        <v>3.6078009129373227</v>
      </c>
      <c r="W156" s="1506">
        <v>3.9595869792693468</v>
      </c>
      <c r="X156" s="1506">
        <v>4.2992239274502966</v>
      </c>
      <c r="Y156" s="1506">
        <v>4.3362295461094007</v>
      </c>
      <c r="Z156" s="1506">
        <v>4.2972619462853157</v>
      </c>
      <c r="AA156" s="1506">
        <v>4.3209431537283329</v>
      </c>
      <c r="AB156" s="1506">
        <v>4.4388231525151278</v>
      </c>
      <c r="AC156" s="1506">
        <v>4.5598555906037213</v>
      </c>
      <c r="AD156" s="1506">
        <v>4.6705511366221319</v>
      </c>
      <c r="AE156" s="1506">
        <v>4.7905826799714895</v>
      </c>
      <c r="AF156" s="1506">
        <v>4.8909868291351355</v>
      </c>
      <c r="AG156" s="1506">
        <v>4.9795195705251665</v>
      </c>
      <c r="AH156" s="1506">
        <v>5.0140428564929254</v>
      </c>
      <c r="AI156" s="1506">
        <v>5.034241784322349</v>
      </c>
      <c r="AJ156" s="1506">
        <v>5.0303794300966009</v>
      </c>
      <c r="AK156" s="1506">
        <v>4.9817061843162831</v>
      </c>
      <c r="AL156" s="1506">
        <v>5.005816752854825</v>
      </c>
      <c r="AM156" s="1506">
        <v>5.1117353012541518</v>
      </c>
      <c r="AN156" s="1506">
        <v>5.1218001698488047</v>
      </c>
      <c r="AO156" s="1506">
        <v>5.1563490468752367</v>
      </c>
      <c r="AP156" s="1506">
        <v>5.1654177598155924</v>
      </c>
      <c r="AQ156" s="1506">
        <v>5.1952502995101684</v>
      </c>
      <c r="AR156" s="1506">
        <v>5.1548078964528896</v>
      </c>
      <c r="AS156" s="1506">
        <v>5.1691436283950809</v>
      </c>
      <c r="AT156" s="1506">
        <v>5.2239208155775625</v>
      </c>
      <c r="AU156" s="1506">
        <v>5.3036701369405987</v>
      </c>
      <c r="AV156" s="1506">
        <v>5.3698761013633396</v>
      </c>
      <c r="AW156" s="1506">
        <v>5.4477553798092231</v>
      </c>
      <c r="AX156" s="1506">
        <v>5.5105548899774046</v>
      </c>
      <c r="AY156" s="1506">
        <v>5.5735610242489493</v>
      </c>
      <c r="AZ156" s="1506">
        <v>5.6745566112130543</v>
      </c>
      <c r="BA156" s="1506">
        <v>5.7069198222653581</v>
      </c>
      <c r="BB156" s="1506">
        <v>5.8107835034348891</v>
      </c>
      <c r="BC156" s="1506">
        <v>5.8430876323795795</v>
      </c>
      <c r="BD156" s="1506">
        <v>5.8755713510037442</v>
      </c>
      <c r="BE156" s="1506">
        <v>5.9082356577077126</v>
      </c>
      <c r="BF156" s="1506">
        <v>5.9410815564422617</v>
      </c>
      <c r="BG156" s="1506">
        <v>5.974110056739474</v>
      </c>
      <c r="BH156" s="1506">
        <v>6.006175946840397</v>
      </c>
      <c r="BI156" s="1506">
        <v>6.0384139498247791</v>
      </c>
      <c r="BJ156" s="1506">
        <v>6.0708249895043265</v>
      </c>
      <c r="BK156" s="1506">
        <v>6.1034099946492821</v>
      </c>
      <c r="BL156" s="1506">
        <v>6.1361698990150408</v>
      </c>
      <c r="BM156" s="1506">
        <v>6.1651091662794615</v>
      </c>
      <c r="BN156" s="1506">
        <v>6.1941849162690321</v>
      </c>
      <c r="BO156" s="1506">
        <v>6.2233977926605295</v>
      </c>
      <c r="BP156" s="1506">
        <v>6.2527484421664239</v>
      </c>
      <c r="BQ156" s="1506">
        <v>6.2822375145491964</v>
      </c>
      <c r="BR156" s="1506">
        <v>6.3074882699506478</v>
      </c>
      <c r="BS156" s="1506">
        <v>6.3328405179567433</v>
      </c>
      <c r="BT156" s="1506">
        <v>6.3582946665057261</v>
      </c>
      <c r="BU156" s="1506">
        <v>6.3838511251755019</v>
      </c>
      <c r="BV156" s="1506">
        <v>6.4095103051902287</v>
      </c>
      <c r="BW156" s="1506">
        <v>6.4307917640583545</v>
      </c>
      <c r="BX156" s="1506">
        <v>6.4521438836275307</v>
      </c>
      <c r="BY156" s="1506">
        <v>6.473566898512062</v>
      </c>
      <c r="BZ156" s="1506">
        <v>6.4950610441052419</v>
      </c>
      <c r="CA156" s="1506">
        <v>6.5166265565819383</v>
      </c>
      <c r="CB156" s="1506">
        <v>6.5305325700258869</v>
      </c>
      <c r="CC156" s="1506">
        <v>6.5444682579046409</v>
      </c>
      <c r="CD156" s="1506">
        <v>6.5584336835413142</v>
      </c>
      <c r="CE156" s="1506">
        <v>6.5724289103941489</v>
      </c>
      <c r="CF156" s="1506">
        <v>6.5864540020568016</v>
      </c>
      <c r="CG156" s="1506">
        <v>6.5910078603528843</v>
      </c>
      <c r="CH156" s="1506">
        <v>6.5955648671755291</v>
      </c>
      <c r="CI156" s="1506">
        <v>6.6001250247016205</v>
      </c>
      <c r="CJ156" s="1506">
        <v>6.6046883351095476</v>
      </c>
      <c r="CK156" s="1506">
        <v>6.6092548005792047</v>
      </c>
      <c r="CL156" s="1506">
        <v>6.6108026296665843</v>
      </c>
      <c r="CM156" s="1506">
        <v>6.6123508212418631</v>
      </c>
      <c r="CN156" s="1506">
        <v>6.6138993753899316</v>
      </c>
      <c r="CO156" s="1506">
        <v>6.6154482921957012</v>
      </c>
      <c r="CP156" s="1506">
        <v>6.6169975717441041</v>
      </c>
      <c r="CQ156" s="1506">
        <v>6.6193456536491393</v>
      </c>
      <c r="CR156" s="1506">
        <v>6.6216945687853457</v>
      </c>
      <c r="CS156" s="1506">
        <v>6.6240443174483996</v>
      </c>
      <c r="CT156" s="1506">
        <v>6.6263948999340831</v>
      </c>
      <c r="CU156" s="1506">
        <v>6.6287463165382841</v>
      </c>
      <c r="CV156" s="1506">
        <v>6.6323651566473876</v>
      </c>
      <c r="CW156" s="1506">
        <v>6.6359859723945851</v>
      </c>
      <c r="CX156" s="1506">
        <v>6.6396087648584388</v>
      </c>
      <c r="CY156" s="1506">
        <v>6.6432335351180996</v>
      </c>
      <c r="CZ156" s="1507">
        <v>6.6468602842533091</v>
      </c>
    </row>
    <row r="157" spans="1:104" x14ac:dyDescent="0.25">
      <c r="A157" s="1505" t="s">
        <v>1081</v>
      </c>
      <c r="B157" s="1506"/>
      <c r="C157" s="1506"/>
      <c r="D157" s="1506"/>
      <c r="E157" s="1506"/>
      <c r="F157" s="1506"/>
      <c r="G157" s="1506"/>
      <c r="H157" s="1506">
        <v>5.0967849132778742</v>
      </c>
      <c r="I157" s="1506">
        <v>5.0967849132778742</v>
      </c>
      <c r="J157" s="1506">
        <v>5.0967849132778742</v>
      </c>
      <c r="K157" s="1506">
        <v>5.0967849132778742</v>
      </c>
      <c r="L157" s="1506">
        <v>5.0967849132778742</v>
      </c>
      <c r="M157" s="1506">
        <v>5.0967849132778742</v>
      </c>
      <c r="N157" s="1506">
        <v>5.0967849132778742</v>
      </c>
      <c r="O157" s="1506">
        <v>5.0967849132778742</v>
      </c>
      <c r="P157" s="1506">
        <v>5.0967849132778742</v>
      </c>
      <c r="Q157" s="1506">
        <v>5.0967849132778742</v>
      </c>
      <c r="R157" s="1506">
        <v>5.0967849132778742</v>
      </c>
      <c r="S157" s="1506">
        <v>5.0967849132778742</v>
      </c>
      <c r="T157" s="1506">
        <v>5.0967849132778742</v>
      </c>
      <c r="U157" s="1506">
        <v>5.0967849132778742</v>
      </c>
      <c r="V157" s="1506">
        <v>5.0967849132778742</v>
      </c>
      <c r="W157" s="1506">
        <v>5.0967849132778742</v>
      </c>
      <c r="X157" s="1506">
        <v>5.0967849132778742</v>
      </c>
      <c r="Y157" s="1506">
        <v>5.0967849132778742</v>
      </c>
      <c r="Z157" s="1506">
        <v>5.0967849132778742</v>
      </c>
      <c r="AA157" s="1506">
        <v>5.0967849132778742</v>
      </c>
      <c r="AB157" s="1506">
        <v>5.0967849132778742</v>
      </c>
      <c r="AC157" s="1506">
        <v>5.0967849132778742</v>
      </c>
      <c r="AD157" s="1506">
        <v>5.0967849132778742</v>
      </c>
      <c r="AE157" s="1506">
        <v>5.0967849132778742</v>
      </c>
      <c r="AF157" s="1506">
        <v>5.0967849132778742</v>
      </c>
      <c r="AG157" s="1506">
        <v>5.0967849132778742</v>
      </c>
      <c r="AH157" s="1506">
        <v>5.0967849132778742</v>
      </c>
      <c r="AI157" s="1506">
        <v>5.0967849132778742</v>
      </c>
      <c r="AJ157" s="1506">
        <v>5.0967849132778742</v>
      </c>
      <c r="AK157" s="1506">
        <v>5.0967849132778742</v>
      </c>
      <c r="AL157" s="1506">
        <v>5.0967849132778742</v>
      </c>
      <c r="AM157" s="1506">
        <v>5.0967849132778742</v>
      </c>
      <c r="AN157" s="1506">
        <v>5.0967849132778742</v>
      </c>
      <c r="AO157" s="1506">
        <v>5.0967849132778742</v>
      </c>
      <c r="AP157" s="1506">
        <v>5.0967849132778742</v>
      </c>
      <c r="AQ157" s="1506">
        <v>5.0967849132778742</v>
      </c>
      <c r="AR157" s="1506">
        <v>5.0967849132778742</v>
      </c>
      <c r="AS157" s="1506">
        <v>5.0967849132778742</v>
      </c>
      <c r="AT157" s="1506">
        <v>5.0967849132778742</v>
      </c>
      <c r="AU157" s="1506">
        <v>5.0967849132778742</v>
      </c>
      <c r="AV157" s="1506">
        <v>5.0967849132778742</v>
      </c>
      <c r="AW157" s="1506">
        <v>5.0967849132778742</v>
      </c>
      <c r="AX157" s="1506">
        <v>5.0967849132778742</v>
      </c>
      <c r="AY157" s="1506">
        <v>5.0967849132778742</v>
      </c>
      <c r="AZ157" s="1506">
        <v>5.0967849132778742</v>
      </c>
      <c r="BA157" s="1506">
        <v>5.0967849132778742</v>
      </c>
      <c r="BB157" s="1506">
        <v>5.0967849132778742</v>
      </c>
      <c r="BC157" s="1506">
        <v>5.1179587571540939</v>
      </c>
      <c r="BD157" s="1506">
        <v>5.1392205646528959</v>
      </c>
      <c r="BE157" s="1506">
        <v>5.1605707012062227</v>
      </c>
      <c r="BF157" s="1506">
        <v>5.1820095337641501</v>
      </c>
      <c r="BG157" s="1506">
        <v>5.2035374308011946</v>
      </c>
      <c r="BH157" s="1506">
        <v>5.2223240063357927</v>
      </c>
      <c r="BI157" s="1506">
        <v>5.2411784079262249</v>
      </c>
      <c r="BJ157" s="1506">
        <v>5.2601008804480855</v>
      </c>
      <c r="BK157" s="1506">
        <v>5.2790916696610548</v>
      </c>
      <c r="BL157" s="1506">
        <v>5.2981510222120916</v>
      </c>
      <c r="BM157" s="1506">
        <v>5.3113630812048802</v>
      </c>
      <c r="BN157" s="1506">
        <v>5.3246080872582748</v>
      </c>
      <c r="BO157" s="1506">
        <v>5.3378861225327325</v>
      </c>
      <c r="BP157" s="1506">
        <v>5.3511972693935945</v>
      </c>
      <c r="BQ157" s="1506">
        <v>5.3645416104115968</v>
      </c>
      <c r="BR157" s="1506">
        <v>5.3779717491778074</v>
      </c>
      <c r="BS157" s="1506">
        <v>5.3914355103185612</v>
      </c>
      <c r="BT157" s="1506">
        <v>5.4049329780075288</v>
      </c>
      <c r="BU157" s="1506">
        <v>5.4184642366291094</v>
      </c>
      <c r="BV157" s="1506">
        <v>5.4320293707789578</v>
      </c>
      <c r="BW157" s="1506">
        <v>5.4450858323773135</v>
      </c>
      <c r="BX157" s="1506">
        <v>5.458173676572823</v>
      </c>
      <c r="BY157" s="1506">
        <v>5.471292978796904</v>
      </c>
      <c r="BZ157" s="1506">
        <v>5.4844438146622805</v>
      </c>
      <c r="CA157" s="1506">
        <v>5.4976262599634209</v>
      </c>
      <c r="CB157" s="1506">
        <v>5.509165721372697</v>
      </c>
      <c r="CC157" s="1506">
        <v>5.5207294039936956</v>
      </c>
      <c r="CD157" s="1506">
        <v>5.5323173586664938</v>
      </c>
      <c r="CE157" s="1506">
        <v>5.5439296363378796</v>
      </c>
      <c r="CF157" s="1506">
        <v>5.5555662880615797</v>
      </c>
      <c r="CG157" s="1506">
        <v>5.5698816197819898</v>
      </c>
      <c r="CH157" s="1506">
        <v>5.5842338386011479</v>
      </c>
      <c r="CI157" s="1506">
        <v>5.598623039568059</v>
      </c>
      <c r="CJ157" s="1506">
        <v>5.6130493179766479</v>
      </c>
      <c r="CK157" s="1506">
        <v>5.6275127693663878</v>
      </c>
      <c r="CL157" s="1506">
        <v>5.6395580019552014</v>
      </c>
      <c r="CM157" s="1506">
        <v>5.6516290163830023</v>
      </c>
      <c r="CN157" s="1506">
        <v>5.6637258678337163</v>
      </c>
      <c r="CO157" s="1506">
        <v>5.6758486116093856</v>
      </c>
      <c r="CP157" s="1506">
        <v>5.6879973031304223</v>
      </c>
      <c r="CQ157" s="1506">
        <v>5.6991168854631553</v>
      </c>
      <c r="CR157" s="1506">
        <v>5.7102582056949531</v>
      </c>
      <c r="CS157" s="1506">
        <v>5.7214213063216786</v>
      </c>
      <c r="CT157" s="1506">
        <v>5.732606229922272</v>
      </c>
      <c r="CU157" s="1506">
        <v>5.7438130191589121</v>
      </c>
      <c r="CV157" s="1506">
        <v>5.7570440466225028</v>
      </c>
      <c r="CW157" s="1506">
        <v>5.7703055521130002</v>
      </c>
      <c r="CX157" s="1506">
        <v>5.7835976058373566</v>
      </c>
      <c r="CY157" s="1506">
        <v>5.796920278164249</v>
      </c>
      <c r="CZ157" s="1507">
        <v>5.8102736396244499</v>
      </c>
    </row>
    <row r="158" spans="1:104" x14ac:dyDescent="0.25">
      <c r="A158" s="1505" t="s">
        <v>1087</v>
      </c>
      <c r="B158" s="1506"/>
      <c r="C158" s="1506"/>
      <c r="D158" s="1506"/>
      <c r="E158" s="1506"/>
      <c r="F158" s="1506"/>
      <c r="G158" s="1506"/>
      <c r="H158" s="1506" t="e">
        <v>#N/A</v>
      </c>
      <c r="I158" s="1506" t="e">
        <v>#N/A</v>
      </c>
      <c r="J158" s="1506" t="e">
        <v>#N/A</v>
      </c>
      <c r="K158" s="1506" t="e">
        <v>#N/A</v>
      </c>
      <c r="L158" s="1506">
        <v>2.2148742453355847</v>
      </c>
      <c r="M158" s="1506">
        <v>2.3408877437334223</v>
      </c>
      <c r="N158" s="1506">
        <v>2.3629142410275352</v>
      </c>
      <c r="O158" s="1506">
        <v>2.4181318326423913</v>
      </c>
      <c r="P158" s="1506">
        <v>2.3501923436687169</v>
      </c>
      <c r="Q158" s="1506">
        <v>2.2749877363600257</v>
      </c>
      <c r="R158" s="1506">
        <v>2.2671813119268305</v>
      </c>
      <c r="S158" s="1506">
        <v>2.0920368648072634</v>
      </c>
      <c r="T158" s="1506">
        <v>1.9706687398025258</v>
      </c>
      <c r="U158" s="1506">
        <v>2.067600203211962</v>
      </c>
      <c r="V158" s="1506">
        <v>2.1142782942327232</v>
      </c>
      <c r="W158" s="1506">
        <v>2.1573963846468813</v>
      </c>
      <c r="X158" s="1506">
        <v>2.1900363582596567</v>
      </c>
      <c r="Y158" s="1506">
        <v>2.1929897559939948</v>
      </c>
      <c r="Z158" s="1506">
        <v>2.2028650611910647</v>
      </c>
      <c r="AA158" s="1506">
        <v>2.2090827406317772</v>
      </c>
      <c r="AB158" s="1506">
        <v>2.2092997907220093</v>
      </c>
      <c r="AC158" s="1506">
        <v>2.2079918032786887</v>
      </c>
      <c r="AD158" s="1506">
        <v>2.2065492258230841</v>
      </c>
      <c r="AE158" s="1506">
        <v>2.1995552842692714</v>
      </c>
      <c r="AF158" s="1506">
        <v>2.1903510334996437</v>
      </c>
      <c r="AG158" s="1506">
        <v>2.1795345460335755</v>
      </c>
      <c r="AH158" s="1506">
        <v>2.1771697426487315</v>
      </c>
      <c r="AI158" s="1506">
        <v>2.177831318906295</v>
      </c>
      <c r="AJ158" s="1506">
        <v>2.1809505846135182</v>
      </c>
      <c r="AK158" s="1506">
        <v>2.1861806387528246</v>
      </c>
      <c r="AL158" s="1506">
        <v>2.1973402359685172</v>
      </c>
      <c r="AM158" s="1506">
        <v>2.2020565733003745</v>
      </c>
      <c r="AN158" s="1506">
        <v>2.2177912831167257</v>
      </c>
      <c r="AO158" s="1506">
        <v>2.2206593773221517</v>
      </c>
      <c r="AP158" s="1506">
        <v>2.2289385587115755</v>
      </c>
      <c r="AQ158" s="1506">
        <v>2.2351116907538557</v>
      </c>
      <c r="AR158" s="1506">
        <v>2.2481536525075447</v>
      </c>
      <c r="AS158" s="1506">
        <v>2.2492673374683427</v>
      </c>
      <c r="AT158" s="1506">
        <v>2.2496910116619402</v>
      </c>
      <c r="AU158" s="1506">
        <v>2.2544263053335558</v>
      </c>
      <c r="AV158" s="1506">
        <v>2.2540196918457411</v>
      </c>
      <c r="AW158" s="1506">
        <v>2.2546357728878843</v>
      </c>
      <c r="AX158" s="1506">
        <v>2.2490256441364247</v>
      </c>
      <c r="AY158" s="1506">
        <v>2.2531477002168603</v>
      </c>
      <c r="AZ158" s="1506">
        <v>2.2540841434009193</v>
      </c>
      <c r="BA158" s="1506">
        <v>2.2596705767276806</v>
      </c>
      <c r="BB158" s="1506">
        <v>2.2620458060993922</v>
      </c>
      <c r="BC158" s="1506">
        <v>2.2703711301923084</v>
      </c>
      <c r="BD158" s="1506">
        <v>2.2787270951418623</v>
      </c>
      <c r="BE158" s="1506">
        <v>2.2871138137198912</v>
      </c>
      <c r="BF158" s="1506">
        <v>2.2955313991132824</v>
      </c>
      <c r="BG158" s="1506">
        <v>2.3039799649255008</v>
      </c>
      <c r="BH158" s="1506">
        <v>2.3125787529279784</v>
      </c>
      <c r="BI158" s="1506">
        <v>2.3212096328567045</v>
      </c>
      <c r="BJ158" s="1506">
        <v>2.3298727244834101</v>
      </c>
      <c r="BK158" s="1506">
        <v>2.338568148026833</v>
      </c>
      <c r="BL158" s="1506">
        <v>2.3472960241543843</v>
      </c>
      <c r="BM158" s="1506">
        <v>2.3559838582312191</v>
      </c>
      <c r="BN158" s="1506">
        <v>2.3647038478010849</v>
      </c>
      <c r="BO158" s="1506">
        <v>2.3734561118781943</v>
      </c>
      <c r="BP158" s="1506">
        <v>2.3822407699172565</v>
      </c>
      <c r="BQ158" s="1506">
        <v>2.3910579418151077</v>
      </c>
      <c r="BR158" s="1506">
        <v>2.3997099382358895</v>
      </c>
      <c r="BS158" s="1506">
        <v>2.4083932417365861</v>
      </c>
      <c r="BT158" s="1506">
        <v>2.4171079656012542</v>
      </c>
      <c r="BU158" s="1506">
        <v>2.4258542235238663</v>
      </c>
      <c r="BV158" s="1506">
        <v>2.434632129609795</v>
      </c>
      <c r="BW158" s="1506">
        <v>2.4428635118796533</v>
      </c>
      <c r="BX158" s="1506">
        <v>2.4511227240845761</v>
      </c>
      <c r="BY158" s="1506">
        <v>2.4594098603163279</v>
      </c>
      <c r="BZ158" s="1506">
        <v>2.467725014984794</v>
      </c>
      <c r="CA158" s="1506">
        <v>2.476068282819055</v>
      </c>
      <c r="CB158" s="1506">
        <v>2.4831576550549128</v>
      </c>
      <c r="CC158" s="1506">
        <v>2.4902673252765117</v>
      </c>
      <c r="CD158" s="1506">
        <v>2.4973973516001715</v>
      </c>
      <c r="CE158" s="1506">
        <v>2.5045477923086086</v>
      </c>
      <c r="CF158" s="1506">
        <v>2.5117187058514112</v>
      </c>
      <c r="CG158" s="1506">
        <v>2.5171937058097216</v>
      </c>
      <c r="CH158" s="1506">
        <v>2.5226806400759916</v>
      </c>
      <c r="CI158" s="1506">
        <v>2.5281795346644143</v>
      </c>
      <c r="CJ158" s="1506">
        <v>2.5336904156458884</v>
      </c>
      <c r="CK158" s="1506">
        <v>2.539213309148141</v>
      </c>
      <c r="CL158" s="1506">
        <v>2.5429573704375228</v>
      </c>
      <c r="CM158" s="1506">
        <v>2.5467069523323964</v>
      </c>
      <c r="CN158" s="1506">
        <v>2.5504620629728754</v>
      </c>
      <c r="CO158" s="1506">
        <v>2.554222710511076</v>
      </c>
      <c r="CP158" s="1506">
        <v>2.5579889031111347</v>
      </c>
      <c r="CQ158" s="1506">
        <v>2.5592501421168059</v>
      </c>
      <c r="CR158" s="1506">
        <v>2.5605120029875006</v>
      </c>
      <c r="CS158" s="1506">
        <v>2.5617744860298348</v>
      </c>
      <c r="CT158" s="1506">
        <v>2.5630375915505756</v>
      </c>
      <c r="CU158" s="1506">
        <v>2.564301319856642</v>
      </c>
      <c r="CV158" s="1506">
        <v>2.5624850697467836</v>
      </c>
      <c r="CW158" s="1506">
        <v>2.5606701060553489</v>
      </c>
      <c r="CX158" s="1506">
        <v>2.5588564278711901</v>
      </c>
      <c r="CY158" s="1506">
        <v>2.5570440342838041</v>
      </c>
      <c r="CZ158" s="1507">
        <v>2.555232924383334</v>
      </c>
    </row>
    <row r="159" spans="1:104" x14ac:dyDescent="0.25">
      <c r="A159" s="1505" t="s">
        <v>683</v>
      </c>
      <c r="B159" s="1506"/>
      <c r="C159" s="1506"/>
      <c r="D159" s="1506"/>
      <c r="E159" s="1506"/>
      <c r="F159" s="1506"/>
      <c r="G159" s="1506"/>
      <c r="H159" s="1506">
        <v>28.373013628420669</v>
      </c>
      <c r="I159" s="1506">
        <v>29.17093293229123</v>
      </c>
      <c r="J159" s="1506">
        <v>30.878569780545078</v>
      </c>
      <c r="K159" s="1506">
        <v>30.682595180991225</v>
      </c>
      <c r="L159" s="1506">
        <v>31.992353762541459</v>
      </c>
      <c r="M159" s="1506">
        <v>31.4429334181984</v>
      </c>
      <c r="N159" s="1506">
        <v>31.156600892671783</v>
      </c>
      <c r="O159" s="1506">
        <v>30.676058322376605</v>
      </c>
      <c r="P159" s="1506">
        <v>29.679126186318804</v>
      </c>
      <c r="Q159" s="1506">
        <v>29.700131988890092</v>
      </c>
      <c r="R159" s="1506">
        <v>30.54196479432273</v>
      </c>
      <c r="S159" s="1506">
        <v>29.932211922183079</v>
      </c>
      <c r="T159" s="1506">
        <v>28.972214109999999</v>
      </c>
      <c r="U159" s="1506">
        <v>29.128232055928784</v>
      </c>
      <c r="V159" s="1506">
        <v>28.995688380521983</v>
      </c>
      <c r="W159" s="1506">
        <v>29.39475155821113</v>
      </c>
      <c r="X159" s="1506">
        <v>29.885964346916182</v>
      </c>
      <c r="Y159" s="1506">
        <v>30.089071101439163</v>
      </c>
      <c r="Z159" s="1506">
        <v>31.081689502737298</v>
      </c>
      <c r="AA159" s="1506">
        <v>31.400245105473072</v>
      </c>
      <c r="AB159" s="1506">
        <v>31.337976372818122</v>
      </c>
      <c r="AC159" s="1506">
        <v>31.854564117923594</v>
      </c>
      <c r="AD159" s="1506">
        <v>32.189964324168578</v>
      </c>
      <c r="AE159" s="1506">
        <v>32.274661250208517</v>
      </c>
      <c r="AF159" s="1506">
        <v>32.347049824843424</v>
      </c>
      <c r="AG159" s="1506">
        <v>32.398275541772193</v>
      </c>
      <c r="AH159" s="1506">
        <v>32.473329377777105</v>
      </c>
      <c r="AI159" s="1506">
        <v>32.424485524938959</v>
      </c>
      <c r="AJ159" s="1506">
        <v>32.33705604252286</v>
      </c>
      <c r="AK159" s="1506">
        <v>32.213589610409308</v>
      </c>
      <c r="AL159" s="1506">
        <v>32.123147965605618</v>
      </c>
      <c r="AM159" s="1506">
        <v>32.189031672252469</v>
      </c>
      <c r="AN159" s="1506">
        <v>32.20134665837643</v>
      </c>
      <c r="AO159" s="1506">
        <v>32.137342472816606</v>
      </c>
      <c r="AP159" s="1506">
        <v>32.106067355666433</v>
      </c>
      <c r="AQ159" s="1506">
        <v>32.055398007309563</v>
      </c>
      <c r="AR159" s="1506">
        <v>31.985796962436115</v>
      </c>
      <c r="AS159" s="1506">
        <v>31.883579639374592</v>
      </c>
      <c r="AT159" s="1506">
        <v>31.88043762605966</v>
      </c>
      <c r="AU159" s="1506">
        <v>31.921825950470875</v>
      </c>
      <c r="AV159" s="1506">
        <v>31.967798865652629</v>
      </c>
      <c r="AW159" s="1506">
        <v>32.011030694105337</v>
      </c>
      <c r="AX159" s="1506">
        <v>32.04019407500644</v>
      </c>
      <c r="AY159" s="1506">
        <v>32.084258086774547</v>
      </c>
      <c r="AZ159" s="1506">
        <v>32.12290532445671</v>
      </c>
      <c r="BA159" s="1506">
        <v>32.1438833578502</v>
      </c>
      <c r="BB159" s="1506">
        <v>32.210559439498944</v>
      </c>
      <c r="BC159" s="1506">
        <v>32.212518425109167</v>
      </c>
      <c r="BD159" s="1506">
        <v>32.214477529861206</v>
      </c>
      <c r="BE159" s="1506">
        <v>32.216436753762309</v>
      </c>
      <c r="BF159" s="1506">
        <v>32.218396096819724</v>
      </c>
      <c r="BG159" s="1506">
        <v>32.220355559040698</v>
      </c>
      <c r="BH159" s="1506">
        <v>32.225068562587758</v>
      </c>
      <c r="BI159" s="1506">
        <v>32.229782255525173</v>
      </c>
      <c r="BJ159" s="1506">
        <v>32.234496637953782</v>
      </c>
      <c r="BK159" s="1506">
        <v>32.239211709974448</v>
      </c>
      <c r="BL159" s="1506">
        <v>32.243927471688032</v>
      </c>
      <c r="BM159" s="1506">
        <v>32.234738373564198</v>
      </c>
      <c r="BN159" s="1506">
        <v>32.225551894213289</v>
      </c>
      <c r="BO159" s="1506">
        <v>32.216368032888994</v>
      </c>
      <c r="BP159" s="1506">
        <v>32.207186788845206</v>
      </c>
      <c r="BQ159" s="1506">
        <v>32.198008161336034</v>
      </c>
      <c r="BR159" s="1506">
        <v>32.188328675270981</v>
      </c>
      <c r="BS159" s="1506">
        <v>32.178652099089362</v>
      </c>
      <c r="BT159" s="1506">
        <v>32.168978431916393</v>
      </c>
      <c r="BU159" s="1506">
        <v>32.15930767287756</v>
      </c>
      <c r="BV159" s="1506">
        <v>32.14963982109861</v>
      </c>
      <c r="BW159" s="1506">
        <v>32.135484213462775</v>
      </c>
      <c r="BX159" s="1506">
        <v>32.121334838594358</v>
      </c>
      <c r="BY159" s="1506">
        <v>32.107191693749044</v>
      </c>
      <c r="BZ159" s="1506">
        <v>32.093054776183735</v>
      </c>
      <c r="CA159" s="1506">
        <v>32.078924083156537</v>
      </c>
      <c r="CB159" s="1506">
        <v>32.05322936592912</v>
      </c>
      <c r="CC159" s="1506">
        <v>32.027555229768936</v>
      </c>
      <c r="CD159" s="1506">
        <v>32.001901658190874</v>
      </c>
      <c r="CE159" s="1506">
        <v>31.976268634723027</v>
      </c>
      <c r="CF159" s="1506">
        <v>31.950656142906677</v>
      </c>
      <c r="CG159" s="1506">
        <v>31.915373500092528</v>
      </c>
      <c r="CH159" s="1506">
        <v>31.880129819385399</v>
      </c>
      <c r="CI159" s="1506">
        <v>31.844925057760001</v>
      </c>
      <c r="CJ159" s="1506">
        <v>31.809759172238564</v>
      </c>
      <c r="CK159" s="1506">
        <v>31.774632119890772</v>
      </c>
      <c r="CL159" s="1506">
        <v>31.736335048107414</v>
      </c>
      <c r="CM159" s="1506">
        <v>31.698084134709202</v>
      </c>
      <c r="CN159" s="1506">
        <v>31.659879324062725</v>
      </c>
      <c r="CO159" s="1506">
        <v>31.621720560601634</v>
      </c>
      <c r="CP159" s="1506">
        <v>31.583607788826551</v>
      </c>
      <c r="CQ159" s="1506">
        <v>31.539463246970023</v>
      </c>
      <c r="CR159" s="1506">
        <v>31.495380406125889</v>
      </c>
      <c r="CS159" s="1506">
        <v>31.451359180054389</v>
      </c>
      <c r="CT159" s="1506">
        <v>31.407399482636293</v>
      </c>
      <c r="CU159" s="1506">
        <v>31.363501227872742</v>
      </c>
      <c r="CV159" s="1506">
        <v>31.320648715953933</v>
      </c>
      <c r="CW159" s="1506">
        <v>31.277854754187555</v>
      </c>
      <c r="CX159" s="1506">
        <v>31.235119262575491</v>
      </c>
      <c r="CY159" s="1506">
        <v>31.192442161228929</v>
      </c>
      <c r="CZ159" s="1507">
        <v>31.1498233703682</v>
      </c>
    </row>
    <row r="160" spans="1:104" x14ac:dyDescent="0.25">
      <c r="A160" s="1505" t="s">
        <v>698</v>
      </c>
      <c r="B160" s="1506"/>
      <c r="C160" s="1506"/>
      <c r="D160" s="1506"/>
      <c r="E160" s="1506"/>
      <c r="F160" s="1506"/>
      <c r="G160" s="1506"/>
      <c r="H160" s="1506">
        <v>18.232352698801531</v>
      </c>
      <c r="I160" s="1506">
        <v>19.279059481202857</v>
      </c>
      <c r="J160" s="1506">
        <v>20.106975671052609</v>
      </c>
      <c r="K160" s="1506">
        <v>20.31728323383771</v>
      </c>
      <c r="L160" s="1506">
        <v>21.702415417864383</v>
      </c>
      <c r="M160" s="1506">
        <v>21.137326303769196</v>
      </c>
      <c r="N160" s="1506">
        <v>20.699724047437488</v>
      </c>
      <c r="O160" s="1506">
        <v>20.430734156114106</v>
      </c>
      <c r="P160" s="1506">
        <v>19.619402543384187</v>
      </c>
      <c r="Q160" s="1506">
        <v>19.94482547791937</v>
      </c>
      <c r="R160" s="1506">
        <v>20.190684361237558</v>
      </c>
      <c r="S160" s="1506">
        <v>19.439058682545589</v>
      </c>
      <c r="T160" s="1506">
        <v>18.777772519999996</v>
      </c>
      <c r="U160" s="1506">
        <v>19.537493744407882</v>
      </c>
      <c r="V160" s="1506">
        <v>19.094688812726531</v>
      </c>
      <c r="W160" s="1506">
        <v>19.340880484069093</v>
      </c>
      <c r="X160" s="1506">
        <v>19.700726786066333</v>
      </c>
      <c r="Y160" s="1506">
        <v>19.809231927025674</v>
      </c>
      <c r="Z160" s="1506">
        <v>20.448628319255093</v>
      </c>
      <c r="AA160" s="1506">
        <v>20.513438149254636</v>
      </c>
      <c r="AB160" s="1506">
        <v>20.459361398826221</v>
      </c>
      <c r="AC160" s="1506">
        <v>20.950622526197662</v>
      </c>
      <c r="AD160" s="1506">
        <v>21.163384692376518</v>
      </c>
      <c r="AE160" s="1506">
        <v>21.285322295688569</v>
      </c>
      <c r="AF160" s="1506">
        <v>21.423623959296947</v>
      </c>
      <c r="AG160" s="1506">
        <v>21.53228264660833</v>
      </c>
      <c r="AH160" s="1506">
        <v>21.607771530610695</v>
      </c>
      <c r="AI160" s="1506">
        <v>21.635145433038627</v>
      </c>
      <c r="AJ160" s="1506">
        <v>21.585785019942069</v>
      </c>
      <c r="AK160" s="1506">
        <v>21.508628925857963</v>
      </c>
      <c r="AL160" s="1506">
        <v>21.446118499871098</v>
      </c>
      <c r="AM160" s="1506">
        <v>21.521952389257063</v>
      </c>
      <c r="AN160" s="1506">
        <v>21.600204159779199</v>
      </c>
      <c r="AO160" s="1506">
        <v>21.583872325260458</v>
      </c>
      <c r="AP160" s="1506">
        <v>21.588666383585327</v>
      </c>
      <c r="AQ160" s="1506">
        <v>21.605374501448264</v>
      </c>
      <c r="AR160" s="1506">
        <v>21.554715579078266</v>
      </c>
      <c r="AS160" s="1506">
        <v>21.491324631109631</v>
      </c>
      <c r="AT160" s="1506">
        <v>21.516251270074765</v>
      </c>
      <c r="AU160" s="1506">
        <v>21.58191413536343</v>
      </c>
      <c r="AV160" s="1506">
        <v>21.663232093841465</v>
      </c>
      <c r="AW160" s="1506">
        <v>21.742367229796333</v>
      </c>
      <c r="AX160" s="1506">
        <v>21.822824570449338</v>
      </c>
      <c r="AY160" s="1506">
        <v>21.895024529503647</v>
      </c>
      <c r="AZ160" s="1506">
        <v>21.976239175929997</v>
      </c>
      <c r="BA160" s="1506">
        <v>22.046603213478718</v>
      </c>
      <c r="BB160" s="1506">
        <v>22.114819497732821</v>
      </c>
      <c r="BC160" s="1506">
        <v>22.13487665280584</v>
      </c>
      <c r="BD160" s="1506">
        <v>22.15495199882406</v>
      </c>
      <c r="BE160" s="1506">
        <v>22.175045552285859</v>
      </c>
      <c r="BF160" s="1506">
        <v>22.195157329704575</v>
      </c>
      <c r="BG160" s="1506">
        <v>22.215287347608523</v>
      </c>
      <c r="BH160" s="1506">
        <v>22.237407284551185</v>
      </c>
      <c r="BI160" s="1506">
        <v>22.259549246489641</v>
      </c>
      <c r="BJ160" s="1506">
        <v>22.281713255354351</v>
      </c>
      <c r="BK160" s="1506">
        <v>22.303899333097611</v>
      </c>
      <c r="BL160" s="1506">
        <v>22.326107501693581</v>
      </c>
      <c r="BM160" s="1506">
        <v>22.336823207612067</v>
      </c>
      <c r="BN160" s="1506">
        <v>22.347544056673097</v>
      </c>
      <c r="BO160" s="1506">
        <v>22.358270051345187</v>
      </c>
      <c r="BP160" s="1506">
        <v>22.369001194098043</v>
      </c>
      <c r="BQ160" s="1506">
        <v>22.379737487402554</v>
      </c>
      <c r="BR160" s="1506">
        <v>22.390100389733625</v>
      </c>
      <c r="BS160" s="1506">
        <v>22.400468090590362</v>
      </c>
      <c r="BT160" s="1506">
        <v>22.410840592194713</v>
      </c>
      <c r="BU160" s="1506">
        <v>22.421217896769658</v>
      </c>
      <c r="BV160" s="1506">
        <v>22.431600006539206</v>
      </c>
      <c r="BW160" s="1506">
        <v>22.438377931004013</v>
      </c>
      <c r="BX160" s="1506">
        <v>22.44515790348412</v>
      </c>
      <c r="BY160" s="1506">
        <v>22.451939924598356</v>
      </c>
      <c r="BZ160" s="1506">
        <v>22.458723994965737</v>
      </c>
      <c r="CA160" s="1506">
        <v>22.465510115205461</v>
      </c>
      <c r="CB160" s="1506">
        <v>22.462969438648798</v>
      </c>
      <c r="CC160" s="1506">
        <v>22.46042904942313</v>
      </c>
      <c r="CD160" s="1506">
        <v>22.45788894749596</v>
      </c>
      <c r="CE160" s="1506">
        <v>22.455349132834797</v>
      </c>
      <c r="CF160" s="1506">
        <v>22.452809605407158</v>
      </c>
      <c r="CG160" s="1506">
        <v>22.442624812220661</v>
      </c>
      <c r="CH160" s="1506">
        <v>22.432444638946507</v>
      </c>
      <c r="CI160" s="1506">
        <v>22.422269083489063</v>
      </c>
      <c r="CJ160" s="1506">
        <v>22.412098143753649</v>
      </c>
      <c r="CK160" s="1506">
        <v>22.401931817646531</v>
      </c>
      <c r="CL160" s="1506">
        <v>22.389459823741635</v>
      </c>
      <c r="CM160" s="1506">
        <v>22.376994773462549</v>
      </c>
      <c r="CN160" s="1506">
        <v>22.364536662943497</v>
      </c>
      <c r="CO160" s="1506">
        <v>22.352085488320853</v>
      </c>
      <c r="CP160" s="1506">
        <v>22.339641245733144</v>
      </c>
      <c r="CQ160" s="1506">
        <v>22.322592014179389</v>
      </c>
      <c r="CR160" s="1506">
        <v>22.305555794307125</v>
      </c>
      <c r="CS160" s="1506">
        <v>22.288532576186064</v>
      </c>
      <c r="CT160" s="1506">
        <v>22.271522349893491</v>
      </c>
      <c r="CU160" s="1506">
        <v>22.254525105514261</v>
      </c>
      <c r="CV160" s="1506">
        <v>22.238544472899552</v>
      </c>
      <c r="CW160" s="1506">
        <v>22.222575315731635</v>
      </c>
      <c r="CX160" s="1506">
        <v>22.206617625770171</v>
      </c>
      <c r="CY160" s="1506">
        <v>22.190671394780733</v>
      </c>
      <c r="CZ160" s="1507">
        <v>22.174736614534808</v>
      </c>
    </row>
    <row r="161" spans="1:104" x14ac:dyDescent="0.25">
      <c r="A161" s="1508" t="s">
        <v>684</v>
      </c>
      <c r="B161" s="1509"/>
      <c r="C161" s="1509"/>
      <c r="D161" s="1509"/>
      <c r="E161" s="1509"/>
      <c r="F161" s="1509"/>
      <c r="G161" s="1509"/>
      <c r="H161" s="1509">
        <v>31.081820315099751</v>
      </c>
      <c r="I161" s="1509">
        <v>31.795307521355493</v>
      </c>
      <c r="J161" s="1509">
        <v>33.946842042036877</v>
      </c>
      <c r="K161" s="1509">
        <v>33.862138723062856</v>
      </c>
      <c r="L161" s="1509">
        <v>35.110516897292094</v>
      </c>
      <c r="M161" s="1509">
        <v>35.620882248372396</v>
      </c>
      <c r="N161" s="1509">
        <v>35.284315436843215</v>
      </c>
      <c r="O161" s="1509">
        <v>35.109707376782602</v>
      </c>
      <c r="P161" s="1509">
        <v>34.944303180720262</v>
      </c>
      <c r="Q161" s="1509">
        <v>35.113313940081568</v>
      </c>
      <c r="R161" s="1509">
        <v>35.603854676435802</v>
      </c>
      <c r="S161" s="1509">
        <v>35.586699324775935</v>
      </c>
      <c r="T161" s="1509">
        <v>34.861101349999998</v>
      </c>
      <c r="U161" s="1509">
        <v>34.664653819323334</v>
      </c>
      <c r="V161" s="1509">
        <v>34.410290069910978</v>
      </c>
      <c r="W161" s="1509">
        <v>34.908531869398402</v>
      </c>
      <c r="X161" s="1509">
        <v>35.616671532127199</v>
      </c>
      <c r="Y161" s="1509">
        <v>35.947520321196222</v>
      </c>
      <c r="Z161" s="1509">
        <v>36.987705865849776</v>
      </c>
      <c r="AA161" s="1509">
        <v>37.546039262370911</v>
      </c>
      <c r="AB161" s="1509">
        <v>37.510823122184988</v>
      </c>
      <c r="AC161" s="1509">
        <v>38.008797637281816</v>
      </c>
      <c r="AD161" s="1509">
        <v>38.419808048103611</v>
      </c>
      <c r="AE161" s="1509">
        <v>38.480927078752217</v>
      </c>
      <c r="AF161" s="1509">
        <v>38.529894147798792</v>
      </c>
      <c r="AG161" s="1509">
        <v>38.610432052895767</v>
      </c>
      <c r="AH161" s="1509">
        <v>38.669048846696292</v>
      </c>
      <c r="AI161" s="1509">
        <v>38.631731396248163</v>
      </c>
      <c r="AJ161" s="1509">
        <v>38.567872226687491</v>
      </c>
      <c r="AK161" s="1509">
        <v>38.465126969563705</v>
      </c>
      <c r="AL161" s="1509">
        <v>38.413723063041203</v>
      </c>
      <c r="AM161" s="1509">
        <v>38.515467425425761</v>
      </c>
      <c r="AN161" s="1509">
        <v>38.527084818246614</v>
      </c>
      <c r="AO161" s="1509">
        <v>38.521472793861179</v>
      </c>
      <c r="AP161" s="1509">
        <v>38.546973809920992</v>
      </c>
      <c r="AQ161" s="1509">
        <v>38.560691565187064</v>
      </c>
      <c r="AR161" s="1509">
        <v>38.568356561168315</v>
      </c>
      <c r="AS161" s="1509">
        <v>38.569368829711408</v>
      </c>
      <c r="AT161" s="1509">
        <v>38.651143635977618</v>
      </c>
      <c r="AU161" s="1509">
        <v>38.781520601750053</v>
      </c>
      <c r="AV161" s="1509">
        <v>38.929117506558889</v>
      </c>
      <c r="AW161" s="1509">
        <v>39.08758776785308</v>
      </c>
      <c r="AX161" s="1509">
        <v>39.228047610742941</v>
      </c>
      <c r="AY161" s="1509">
        <v>39.393119417357944</v>
      </c>
      <c r="AZ161" s="1509">
        <v>39.595269824540118</v>
      </c>
      <c r="BA161" s="1509">
        <v>39.769550621009692</v>
      </c>
      <c r="BB161" s="1509">
        <v>39.980674011616443</v>
      </c>
      <c r="BC161" s="1509">
        <v>39.983105560972888</v>
      </c>
      <c r="BD161" s="1509">
        <v>39.985537258211586</v>
      </c>
      <c r="BE161" s="1509">
        <v>39.987969103341534</v>
      </c>
      <c r="BF161" s="1509">
        <v>39.990401096371727</v>
      </c>
      <c r="BG161" s="1509">
        <v>39.99283323731116</v>
      </c>
      <c r="BH161" s="1509">
        <v>39.998683153044055</v>
      </c>
      <c r="BI161" s="1509">
        <v>40.00453392446812</v>
      </c>
      <c r="BJ161" s="1509">
        <v>40.010385551708517</v>
      </c>
      <c r="BK161" s="1509">
        <v>40.016238034890421</v>
      </c>
      <c r="BL161" s="1509">
        <v>40.022091374139045</v>
      </c>
      <c r="BM161" s="1509">
        <v>40.01068560090993</v>
      </c>
      <c r="BN161" s="1509">
        <v>39.999283078177193</v>
      </c>
      <c r="BO161" s="1509">
        <v>39.987883805014484</v>
      </c>
      <c r="BP161" s="1509">
        <v>39.976487780495717</v>
      </c>
      <c r="BQ161" s="1509">
        <v>39.965095003695069</v>
      </c>
      <c r="BR161" s="1509">
        <v>39.953080546830584</v>
      </c>
      <c r="BS161" s="1509">
        <v>39.941069701797218</v>
      </c>
      <c r="BT161" s="1509">
        <v>39.929062467509169</v>
      </c>
      <c r="BU161" s="1509">
        <v>39.917058842880955</v>
      </c>
      <c r="BV161" s="1509">
        <v>39.905058826827435</v>
      </c>
      <c r="BW161" s="1509">
        <v>39.887488478960996</v>
      </c>
      <c r="BX161" s="1509">
        <v>39.869925867384971</v>
      </c>
      <c r="BY161" s="1509">
        <v>39.852370988693046</v>
      </c>
      <c r="BZ161" s="1509">
        <v>39.8348238394804</v>
      </c>
      <c r="CA161" s="1509">
        <v>39.817284416343718</v>
      </c>
      <c r="CB161" s="1509">
        <v>39.785391393336162</v>
      </c>
      <c r="CC161" s="1509">
        <v>39.75352391614198</v>
      </c>
      <c r="CD161" s="1509">
        <v>39.721681964299371</v>
      </c>
      <c r="CE161" s="1509">
        <v>39.689865517362925</v>
      </c>
      <c r="CF161" s="1509">
        <v>39.658074554903607</v>
      </c>
      <c r="CG161" s="1509">
        <v>39.614280722534119</v>
      </c>
      <c r="CH161" s="1509">
        <v>39.57053525105394</v>
      </c>
      <c r="CI161" s="1509">
        <v>39.526838087058842</v>
      </c>
      <c r="CJ161" s="1509">
        <v>39.48318917720357</v>
      </c>
      <c r="CK161" s="1509">
        <v>39.439588468201791</v>
      </c>
      <c r="CL161" s="1509">
        <v>39.392053039782866</v>
      </c>
      <c r="CM161" s="1509">
        <v>39.344574904480901</v>
      </c>
      <c r="CN161" s="1509">
        <v>39.297153993242112</v>
      </c>
      <c r="CO161" s="1509">
        <v>39.249790237095944</v>
      </c>
      <c r="CP161" s="1509">
        <v>39.202483567154964</v>
      </c>
      <c r="CQ161" s="1509">
        <v>39.147690090479308</v>
      </c>
      <c r="CR161" s="1509">
        <v>39.092973198877175</v>
      </c>
      <c r="CS161" s="1509">
        <v>39.038332785305279</v>
      </c>
      <c r="CT161" s="1509">
        <v>38.983768742869955</v>
      </c>
      <c r="CU161" s="1509">
        <v>38.929280964826951</v>
      </c>
      <c r="CV161" s="1509">
        <v>38.876091192919297</v>
      </c>
      <c r="CW161" s="1509">
        <v>38.822974095147039</v>
      </c>
      <c r="CX161" s="1509">
        <v>38.769929572214203</v>
      </c>
      <c r="CY161" s="1509">
        <v>38.716957524960492</v>
      </c>
      <c r="CZ161" s="1510">
        <v>38.66405785436109</v>
      </c>
    </row>
    <row r="202" spans="1:2" ht="14" x14ac:dyDescent="0.3">
      <c r="A202" s="2"/>
      <c r="B202" s="2"/>
    </row>
    <row r="203" spans="1:2" ht="14" x14ac:dyDescent="0.3">
      <c r="A203" s="2"/>
      <c r="B203" s="2"/>
    </row>
    <row r="249" spans="1:29" x14ac:dyDescent="0.25">
      <c r="A249" s="33"/>
    </row>
    <row r="251" spans="1:29" x14ac:dyDescent="0.25">
      <c r="AC251" s="28"/>
    </row>
    <row r="252" spans="1:29" x14ac:dyDescent="0.25">
      <c r="AC252" s="28"/>
    </row>
    <row r="253" spans="1:29" x14ac:dyDescent="0.25">
      <c r="AC253" s="28"/>
    </row>
    <row r="254" spans="1:29" x14ac:dyDescent="0.25">
      <c r="AC254" s="28"/>
    </row>
    <row r="257" spans="29:29" x14ac:dyDescent="0.25">
      <c r="AC257" s="28"/>
    </row>
    <row r="258" spans="29:29" x14ac:dyDescent="0.25">
      <c r="AC258" s="28"/>
    </row>
    <row r="259" spans="29:29" x14ac:dyDescent="0.25">
      <c r="AC259" s="28"/>
    </row>
    <row r="260" spans="29:29" x14ac:dyDescent="0.25">
      <c r="AC260" s="28"/>
    </row>
    <row r="263" spans="29:29" x14ac:dyDescent="0.25">
      <c r="AC263"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70" spans="29:29" x14ac:dyDescent="0.25">
      <c r="AC270" s="28"/>
    </row>
    <row r="273" spans="29:29" x14ac:dyDescent="0.25">
      <c r="AC273"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3" spans="29:29" x14ac:dyDescent="0.25">
      <c r="AC283" s="28"/>
    </row>
    <row r="284" spans="29:29" x14ac:dyDescent="0.25">
      <c r="AC284" s="28"/>
    </row>
    <row r="285" spans="29:29" x14ac:dyDescent="0.25">
      <c r="AC285" s="28"/>
    </row>
    <row r="286" spans="29:29" x14ac:dyDescent="0.25">
      <c r="AC286" s="28"/>
    </row>
    <row r="289" spans="29:29" x14ac:dyDescent="0.25">
      <c r="AC289"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9" spans="29:29" x14ac:dyDescent="0.25">
      <c r="AC299" s="28"/>
    </row>
    <row r="303" spans="29:29" x14ac:dyDescent="0.25">
      <c r="AC303"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5" x14ac:dyDescent="0.25"/>
  <cols>
    <col min="1" max="1" width="27.81640625" customWidth="1"/>
    <col min="2" max="2" width="12.7265625" customWidth="1"/>
    <col min="3" max="3" width="19.81640625" customWidth="1"/>
    <col min="4" max="4" width="28.26953125" customWidth="1"/>
    <col min="5" max="5" width="16.54296875" customWidth="1"/>
    <col min="6" max="6" width="11.453125" customWidth="1"/>
    <col min="7" max="7" width="9.7265625" customWidth="1"/>
    <col min="8" max="8" width="10.26953125" customWidth="1"/>
    <col min="9" max="9" width="10.453125" customWidth="1"/>
    <col min="10" max="10" width="9.54296875" customWidth="1"/>
    <col min="11" max="12" width="10" customWidth="1"/>
    <col min="13" max="13" width="10.7265625" customWidth="1"/>
    <col min="14" max="14" width="9.54296875" customWidth="1"/>
    <col min="15" max="15" width="10.7265625" customWidth="1"/>
    <col min="16" max="16" width="10.26953125" customWidth="1"/>
    <col min="17" max="17" width="9.54296875" customWidth="1"/>
    <col min="18" max="18" width="9.7265625" customWidth="1"/>
    <col min="19" max="19" width="10" customWidth="1"/>
    <col min="20" max="21" width="9.7265625" customWidth="1"/>
    <col min="22" max="22" width="10" customWidth="1"/>
    <col min="23" max="24" width="9.7265625" customWidth="1"/>
    <col min="25" max="25" width="10" customWidth="1"/>
    <col min="26" max="26" width="9.7265625" customWidth="1"/>
    <col min="27" max="27" width="10.7265625" customWidth="1"/>
    <col min="28" max="28" width="10.26953125" customWidth="1"/>
    <col min="29" max="29" width="10" customWidth="1"/>
    <col min="30" max="30" width="9.7265625" customWidth="1"/>
    <col min="31" max="31" width="10.26953125" customWidth="1"/>
    <col min="32" max="32" width="10.453125" customWidth="1"/>
    <col min="33" max="33" width="9.54296875" customWidth="1"/>
    <col min="34" max="34" width="10" customWidth="1"/>
    <col min="35" max="35" width="9.26953125" customWidth="1"/>
    <col min="36" max="36" width="10" customWidth="1"/>
    <col min="37" max="37" width="10.26953125" customWidth="1"/>
    <col min="38" max="38" width="9.7265625" customWidth="1"/>
    <col min="39" max="39" width="9.54296875" customWidth="1"/>
    <col min="40" max="40" width="9.7265625" customWidth="1"/>
    <col min="41" max="41" width="10.26953125" customWidth="1"/>
    <col min="42" max="44" width="9.7265625" customWidth="1"/>
    <col min="45" max="45" width="9.26953125" customWidth="1"/>
    <col min="46" max="46" width="9.54296875" customWidth="1"/>
    <col min="47" max="47" width="9.7265625" customWidth="1"/>
    <col min="48" max="48" width="10.26953125" customWidth="1"/>
    <col min="49" max="49" width="10.453125" customWidth="1"/>
    <col min="50" max="50" width="9.54296875" customWidth="1"/>
    <col min="51" max="52" width="9.7265625" customWidth="1"/>
    <col min="53" max="54" width="9.54296875" customWidth="1"/>
    <col min="55" max="55" width="9.7265625" customWidth="1"/>
    <col min="56" max="56" width="9.54296875" customWidth="1"/>
    <col min="57" max="59" width="9.7265625" customWidth="1"/>
    <col min="60" max="60" width="9.54296875" customWidth="1"/>
    <col min="61" max="61" width="9.7265625" customWidth="1"/>
    <col min="62" max="62" width="9.54296875" customWidth="1"/>
    <col min="63" max="63" width="9.7265625" customWidth="1"/>
    <col min="64" max="64" width="10.26953125" customWidth="1"/>
    <col min="65" max="65" width="9.7265625" customWidth="1"/>
    <col min="66" max="66" width="10.26953125" customWidth="1"/>
    <col min="67" max="67" width="9.54296875" customWidth="1"/>
    <col min="68" max="68" width="9.7265625" customWidth="1"/>
    <col min="69" max="69" width="9.54296875" customWidth="1"/>
    <col min="70" max="70" width="9.7265625" customWidth="1"/>
    <col min="71" max="71" width="10.26953125" customWidth="1"/>
    <col min="72" max="72" width="9.7265625" customWidth="1"/>
    <col min="73" max="74" width="9.54296875" customWidth="1"/>
  </cols>
  <sheetData>
    <row r="1" spans="1:104" ht="53" thickTop="1" thickBot="1" x14ac:dyDescent="0.35">
      <c r="A1" s="223" t="s">
        <v>1050</v>
      </c>
      <c r="B1" s="224" t="s">
        <v>1049</v>
      </c>
      <c r="C1" s="902" t="s">
        <v>678</v>
      </c>
      <c r="D1" s="902"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 thickTop="1" x14ac:dyDescent="0.25">
      <c r="A2" t="s">
        <v>1045</v>
      </c>
      <c r="B2" s="463"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1046</v>
      </c>
      <c r="B3" s="463"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1047</v>
      </c>
      <c r="B4" s="463"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1048</v>
      </c>
      <c r="B5" s="463"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674</v>
      </c>
      <c r="B6" s="463"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63" t="s">
        <v>1088</v>
      </c>
      <c r="B7" s="463"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63" t="s">
        <v>822</v>
      </c>
      <c r="B8" s="463"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5" x14ac:dyDescent="0.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2" ht="15.5" x14ac:dyDescent="0.35">
      <c r="A1" s="1646" t="s">
        <v>743</v>
      </c>
      <c r="B1" s="1646"/>
      <c r="C1" s="1646"/>
      <c r="D1" s="1646"/>
      <c r="E1" s="1646"/>
      <c r="F1" s="1646"/>
      <c r="G1" s="1646"/>
      <c r="H1" s="1646"/>
      <c r="I1" s="1646"/>
      <c r="J1" s="1646"/>
      <c r="K1" s="1646"/>
      <c r="L1" s="1646"/>
      <c r="M1" s="1646"/>
      <c r="N1" s="1646"/>
      <c r="O1" s="1646"/>
      <c r="P1" s="1646"/>
      <c r="Q1" s="1646"/>
      <c r="R1" s="1646"/>
      <c r="S1" s="1646"/>
      <c r="T1" s="1646"/>
      <c r="U1" s="1646"/>
      <c r="V1" s="1646"/>
      <c r="W1" s="1646"/>
      <c r="X1" s="1646"/>
      <c r="Y1" s="1646"/>
      <c r="Z1" s="1646"/>
      <c r="AA1" s="1646"/>
      <c r="AB1" s="1646"/>
      <c r="AC1" s="1646"/>
      <c r="AD1" s="1646"/>
      <c r="AE1" s="1646"/>
      <c r="AF1" s="1646"/>
      <c r="AG1" s="1646"/>
      <c r="AH1" s="1646"/>
      <c r="AI1" s="1646"/>
      <c r="AJ1" s="1646"/>
      <c r="AK1" s="1646"/>
      <c r="AL1" s="1646"/>
      <c r="AM1" s="1646"/>
      <c r="AN1" s="1646"/>
      <c r="AO1" s="1646"/>
      <c r="AP1" s="1646"/>
      <c r="AQ1" s="1646"/>
      <c r="AR1" s="1646"/>
      <c r="AS1" s="1646"/>
      <c r="AT1" s="1646"/>
      <c r="AU1" s="1646"/>
      <c r="AV1" s="1646"/>
      <c r="AW1" s="1646"/>
      <c r="AX1" s="1646"/>
      <c r="AY1" s="1646"/>
      <c r="AZ1" s="1646"/>
      <c r="BA1" s="1646"/>
      <c r="BB1" s="1646"/>
      <c r="BC1" s="1646"/>
      <c r="BD1" s="1646"/>
      <c r="BE1" s="1646"/>
      <c r="BF1" s="1646"/>
      <c r="BG1" s="1646"/>
      <c r="BH1" s="1646"/>
      <c r="BI1" s="1646"/>
      <c r="BJ1" s="1646"/>
      <c r="BK1" s="1646"/>
      <c r="BL1" s="1646"/>
      <c r="BM1" s="1646"/>
      <c r="BN1" s="1646"/>
      <c r="BO1" s="1646"/>
      <c r="BP1" s="1646"/>
      <c r="BQ1" s="1646"/>
      <c r="BR1" s="1646"/>
      <c r="BS1" s="1646"/>
      <c r="BT1" s="1646"/>
    </row>
    <row r="2" spans="1:72" x14ac:dyDescent="0.25">
      <c r="A2" s="1647" t="s">
        <v>744</v>
      </c>
      <c r="B2" s="1647"/>
      <c r="C2" s="1647"/>
      <c r="D2" s="1647"/>
      <c r="E2" s="1647"/>
      <c r="F2" s="1647"/>
      <c r="G2" s="1647"/>
      <c r="H2" s="1647"/>
      <c r="I2" s="1647"/>
      <c r="J2" s="1647"/>
      <c r="K2" s="1647"/>
      <c r="L2" s="1647"/>
      <c r="M2" s="1647"/>
      <c r="N2" s="1647"/>
      <c r="O2" s="1647"/>
      <c r="P2" s="1647"/>
      <c r="Q2" s="1647"/>
      <c r="R2" s="1647"/>
      <c r="S2" s="1647"/>
      <c r="T2" s="1647"/>
      <c r="U2" s="1647"/>
      <c r="V2" s="1647"/>
      <c r="W2" s="1647"/>
      <c r="X2" s="1647"/>
      <c r="Y2" s="1647"/>
      <c r="Z2" s="1647"/>
      <c r="AA2" s="1647"/>
      <c r="AB2" s="1647"/>
      <c r="AC2" s="1647"/>
      <c r="AD2" s="1647"/>
      <c r="AE2" s="1647"/>
      <c r="AF2" s="1647"/>
      <c r="AG2" s="1647"/>
      <c r="AH2" s="1647"/>
      <c r="AI2" s="1647"/>
      <c r="AJ2" s="1647"/>
      <c r="AK2" s="1647"/>
      <c r="AL2" s="1647"/>
      <c r="AM2" s="1647"/>
      <c r="AN2" s="1647"/>
      <c r="AO2" s="1647"/>
      <c r="AP2" s="1647"/>
      <c r="AQ2" s="1647"/>
      <c r="AR2" s="1647"/>
      <c r="AS2" s="1647"/>
      <c r="AT2" s="1647"/>
      <c r="AU2" s="1647"/>
      <c r="AV2" s="1647"/>
      <c r="AW2" s="1647"/>
      <c r="AX2" s="1647"/>
      <c r="AY2" s="1647"/>
      <c r="AZ2" s="1647"/>
      <c r="BA2" s="1647"/>
      <c r="BB2" s="1647"/>
      <c r="BC2" s="1647"/>
      <c r="BD2" s="1647"/>
      <c r="BE2" s="1647"/>
      <c r="BF2" s="1647"/>
      <c r="BG2" s="1647"/>
      <c r="BH2" s="1647"/>
      <c r="BI2" s="1647"/>
      <c r="BJ2" s="1647"/>
      <c r="BK2" s="1647"/>
      <c r="BL2" s="1647"/>
      <c r="BM2" s="1647"/>
      <c r="BN2" s="1647"/>
      <c r="BO2" s="1647"/>
      <c r="BP2" s="1647"/>
      <c r="BQ2" s="1647"/>
      <c r="BR2" s="1647"/>
      <c r="BS2" s="1647"/>
      <c r="BT2" s="1647"/>
    </row>
    <row r="3" spans="1:72" ht="13" thickBot="1" x14ac:dyDescent="0.3">
      <c r="A3" s="1648"/>
      <c r="B3" s="1648"/>
      <c r="C3" s="1648"/>
      <c r="D3" s="1648"/>
      <c r="E3" s="1648"/>
      <c r="F3" s="1648"/>
      <c r="G3" s="1648"/>
      <c r="H3" s="1648"/>
      <c r="I3" s="1648"/>
      <c r="J3" s="1648"/>
      <c r="K3" s="1648"/>
      <c r="L3" s="1648"/>
      <c r="M3" s="1648"/>
      <c r="N3" s="1648"/>
      <c r="O3" s="1648"/>
      <c r="P3" s="1648"/>
      <c r="Q3" s="1648"/>
      <c r="R3" s="1648"/>
      <c r="S3" s="1648"/>
      <c r="T3" s="1648"/>
      <c r="U3" s="1648"/>
      <c r="V3" s="1648"/>
      <c r="W3" s="1648"/>
      <c r="X3" s="1648"/>
      <c r="Y3" s="1648"/>
      <c r="Z3" s="1648"/>
      <c r="AA3" s="1648"/>
      <c r="AB3" s="1648"/>
      <c r="AC3" s="1648"/>
      <c r="AD3" s="1648"/>
      <c r="AE3" s="1648"/>
      <c r="AF3" s="1648"/>
      <c r="AG3" s="1648"/>
      <c r="AH3" s="1648"/>
      <c r="AI3" s="1648"/>
      <c r="AJ3" s="1648"/>
      <c r="AK3" s="1648"/>
      <c r="AL3" s="1648"/>
      <c r="AM3" s="1648"/>
      <c r="AN3" s="1648"/>
      <c r="AO3" s="1648"/>
      <c r="AP3" s="1648"/>
      <c r="AQ3" s="1648"/>
      <c r="AR3" s="1648"/>
      <c r="AS3" s="1648"/>
      <c r="AT3" s="1648"/>
      <c r="AU3" s="1648"/>
      <c r="AV3" s="1648"/>
      <c r="AW3" s="1648"/>
      <c r="AX3" s="1648"/>
      <c r="AY3" s="1648"/>
      <c r="AZ3" s="1648"/>
      <c r="BA3" s="1648"/>
      <c r="BB3" s="1648"/>
      <c r="BC3" s="1648"/>
      <c r="BD3" s="1648"/>
      <c r="BE3" s="1648"/>
      <c r="BF3" s="1648"/>
      <c r="BG3" s="1648"/>
      <c r="BH3" s="1648"/>
      <c r="BI3" s="1648"/>
      <c r="BJ3" s="1648"/>
      <c r="BK3" s="1648"/>
      <c r="BL3" s="1648"/>
      <c r="BM3" s="1648"/>
      <c r="BN3" s="1648"/>
      <c r="BO3" s="1648"/>
      <c r="BP3" s="1648"/>
      <c r="BQ3" s="1648"/>
      <c r="BR3" s="1648"/>
      <c r="BS3" s="1648"/>
      <c r="BT3" s="1648"/>
    </row>
    <row r="4" spans="1:72" x14ac:dyDescent="0.25">
      <c r="A4" s="915"/>
      <c r="B4" s="916" t="s">
        <v>1049</v>
      </c>
      <c r="C4" s="917">
        <v>2001</v>
      </c>
      <c r="D4" s="917">
        <v>2002</v>
      </c>
      <c r="E4" s="917">
        <v>2003</v>
      </c>
      <c r="F4" s="917">
        <v>2004</v>
      </c>
      <c r="G4" s="917">
        <v>2005</v>
      </c>
      <c r="H4" s="917">
        <v>2006</v>
      </c>
      <c r="I4" s="917">
        <v>2007</v>
      </c>
      <c r="J4" s="917">
        <v>2008</v>
      </c>
      <c r="K4" s="917">
        <v>2009</v>
      </c>
      <c r="L4" s="917">
        <v>2010</v>
      </c>
      <c r="M4" s="917">
        <v>2011</v>
      </c>
      <c r="N4" s="917">
        <v>2012</v>
      </c>
      <c r="O4" s="917">
        <v>2013</v>
      </c>
      <c r="P4" s="917">
        <v>2014</v>
      </c>
      <c r="Q4" s="917">
        <v>2015</v>
      </c>
      <c r="R4" s="917">
        <v>2016</v>
      </c>
      <c r="S4" s="917">
        <v>2017</v>
      </c>
      <c r="T4" s="917">
        <v>2018</v>
      </c>
      <c r="U4" s="917">
        <v>2019</v>
      </c>
      <c r="V4" s="917">
        <v>2020</v>
      </c>
      <c r="W4" s="917">
        <v>2021</v>
      </c>
      <c r="X4" s="917">
        <v>2022</v>
      </c>
      <c r="Y4" s="917">
        <v>2023</v>
      </c>
      <c r="Z4" s="917">
        <v>2024</v>
      </c>
      <c r="AA4" s="917">
        <v>2025</v>
      </c>
      <c r="AB4" s="917">
        <v>2026</v>
      </c>
      <c r="AC4" s="917">
        <v>2027</v>
      </c>
      <c r="AD4" s="917">
        <v>2028</v>
      </c>
      <c r="AE4" s="917">
        <v>2029</v>
      </c>
      <c r="AF4" s="917">
        <v>2030</v>
      </c>
      <c r="AG4" s="917">
        <v>2031</v>
      </c>
      <c r="AH4" s="917">
        <v>2032</v>
      </c>
      <c r="AI4" s="917">
        <v>2033</v>
      </c>
      <c r="AJ4" s="917">
        <v>2034</v>
      </c>
      <c r="AK4" s="917">
        <v>2035</v>
      </c>
      <c r="AL4" s="917">
        <v>2036</v>
      </c>
      <c r="AM4" s="917">
        <v>2037</v>
      </c>
      <c r="AN4" s="917">
        <v>2038</v>
      </c>
      <c r="AO4" s="917">
        <v>2039</v>
      </c>
      <c r="AP4" s="917">
        <v>2040</v>
      </c>
      <c r="AQ4" s="917">
        <v>2041</v>
      </c>
      <c r="AR4" s="917">
        <v>2042</v>
      </c>
      <c r="AS4" s="917">
        <v>2043</v>
      </c>
      <c r="AT4" s="917">
        <v>2044</v>
      </c>
      <c r="AU4" s="917">
        <v>2045</v>
      </c>
      <c r="AV4" s="917">
        <v>2046</v>
      </c>
      <c r="AW4" s="917">
        <v>2047</v>
      </c>
      <c r="AX4" s="917">
        <v>2048</v>
      </c>
      <c r="AY4" s="917">
        <v>2049</v>
      </c>
      <c r="AZ4" s="917">
        <v>2050</v>
      </c>
      <c r="BA4" s="917">
        <v>2051</v>
      </c>
      <c r="BB4" s="917">
        <v>2052</v>
      </c>
      <c r="BC4" s="917">
        <v>2053</v>
      </c>
      <c r="BD4" s="917">
        <v>2054</v>
      </c>
      <c r="BE4" s="917">
        <v>2056</v>
      </c>
      <c r="BF4" s="917">
        <v>2056</v>
      </c>
      <c r="BG4" s="917">
        <v>2057</v>
      </c>
      <c r="BH4" s="917">
        <v>2058</v>
      </c>
      <c r="BI4" s="917">
        <v>2059</v>
      </c>
      <c r="BJ4" s="917">
        <v>2060</v>
      </c>
      <c r="BK4" s="917">
        <v>2061</v>
      </c>
      <c r="BL4" s="917">
        <v>2062</v>
      </c>
      <c r="BM4" s="917">
        <v>2063</v>
      </c>
      <c r="BN4" s="917">
        <v>2064</v>
      </c>
      <c r="BO4" s="917">
        <v>2065</v>
      </c>
      <c r="BP4" s="917">
        <v>2066</v>
      </c>
      <c r="BQ4" s="917">
        <v>2067</v>
      </c>
      <c r="BR4" s="917">
        <v>2068</v>
      </c>
      <c r="BS4" s="917">
        <v>2069</v>
      </c>
      <c r="BT4" s="918">
        <v>2070</v>
      </c>
    </row>
    <row r="5" spans="1:72" x14ac:dyDescent="0.25">
      <c r="A5" s="1649" t="s">
        <v>745</v>
      </c>
      <c r="B5" s="1650"/>
      <c r="C5" s="1650"/>
      <c r="D5" s="1650"/>
      <c r="E5" s="1650"/>
      <c r="F5" s="1650"/>
      <c r="G5" s="1650"/>
      <c r="H5" s="1650"/>
      <c r="I5" s="1650"/>
      <c r="J5" s="1650"/>
      <c r="K5" s="1650"/>
      <c r="L5" s="1650"/>
      <c r="M5" s="1650"/>
      <c r="N5" s="1650"/>
      <c r="O5" s="1650"/>
      <c r="P5" s="1650"/>
      <c r="Q5" s="1650"/>
      <c r="R5" s="1650"/>
      <c r="S5" s="1650"/>
      <c r="T5" s="1650"/>
      <c r="U5" s="1650"/>
      <c r="V5" s="1650"/>
      <c r="W5" s="1650"/>
      <c r="X5" s="1650"/>
      <c r="Y5" s="1650"/>
      <c r="Z5" s="1650"/>
      <c r="AA5" s="1650"/>
      <c r="AB5" s="1650"/>
      <c r="AC5" s="1650"/>
      <c r="AD5" s="1650"/>
      <c r="AE5" s="1650"/>
      <c r="AF5" s="1650"/>
      <c r="AG5" s="1650"/>
      <c r="AH5" s="1650"/>
      <c r="AI5" s="1650"/>
      <c r="AJ5" s="1650"/>
      <c r="AK5" s="1650"/>
      <c r="AL5" s="1650"/>
      <c r="AM5" s="1650"/>
      <c r="AN5" s="1650"/>
      <c r="AO5" s="1650"/>
      <c r="AP5" s="1650"/>
      <c r="AQ5" s="1650"/>
      <c r="AR5" s="1650"/>
      <c r="AS5" s="1650"/>
      <c r="AT5" s="1650"/>
      <c r="AU5" s="1650"/>
      <c r="AV5" s="1650"/>
      <c r="AW5" s="1650"/>
      <c r="AX5" s="1650"/>
      <c r="AY5" s="1650"/>
      <c r="AZ5" s="1650"/>
      <c r="BA5" s="1650"/>
      <c r="BB5" s="1650"/>
      <c r="BC5" s="1650"/>
      <c r="BD5" s="1650"/>
      <c r="BE5" s="1650"/>
      <c r="BF5" s="1650"/>
      <c r="BG5" s="1650"/>
      <c r="BH5" s="1650"/>
      <c r="BI5" s="1650"/>
      <c r="BJ5" s="1650"/>
      <c r="BK5" s="1650"/>
      <c r="BL5" s="1650"/>
      <c r="BM5" s="1650"/>
      <c r="BN5" s="1650"/>
      <c r="BO5" s="1650"/>
      <c r="BP5" s="1650"/>
      <c r="BQ5" s="1650"/>
      <c r="BR5" s="1650"/>
      <c r="BS5" s="1650"/>
      <c r="BT5" s="1651"/>
    </row>
    <row r="6" spans="1:72" x14ac:dyDescent="0.25">
      <c r="A6" s="919" t="s">
        <v>746</v>
      </c>
      <c r="B6" s="920" t="s">
        <v>747</v>
      </c>
      <c r="C6" s="921">
        <v>8.9541000728991982</v>
      </c>
      <c r="D6" s="921">
        <v>6.8979457774252282</v>
      </c>
      <c r="E6" s="921">
        <v>8.4197996967243682</v>
      </c>
      <c r="F6" s="921">
        <v>8.8059982398770913</v>
      </c>
      <c r="G6" s="921">
        <v>8.8656468751295598</v>
      </c>
      <c r="H6" s="921">
        <v>8.2234977371287847</v>
      </c>
      <c r="I6" s="921">
        <v>7.8073426530046319</v>
      </c>
      <c r="J6" s="921">
        <v>7.4325694992857168</v>
      </c>
      <c r="K6" s="921">
        <v>7.297531685739191</v>
      </c>
      <c r="L6" s="921">
        <v>7.1966502441550162</v>
      </c>
      <c r="M6" s="921">
        <v>7.2405429268783017</v>
      </c>
      <c r="N6" s="921">
        <v>7.2944294079294778</v>
      </c>
      <c r="O6" s="921">
        <v>7.4037989917791105</v>
      </c>
      <c r="P6" s="921">
        <v>7.5440859727139706</v>
      </c>
      <c r="Q6" s="921">
        <v>7.6385998163583153</v>
      </c>
      <c r="R6" s="921">
        <v>7.6698249061152577</v>
      </c>
      <c r="S6" s="921">
        <v>7.596507558282819</v>
      </c>
      <c r="T6" s="921">
        <v>7.644327174942454</v>
      </c>
      <c r="U6" s="921">
        <v>7.7875295315148705</v>
      </c>
      <c r="V6" s="921">
        <v>8.0180296178133954</v>
      </c>
      <c r="W6" s="921">
        <v>8.1425457338117244</v>
      </c>
      <c r="X6" s="921">
        <v>8.1602542175436898</v>
      </c>
      <c r="Y6" s="921">
        <v>8.1927349319997838</v>
      </c>
      <c r="Z6" s="921">
        <v>8.2544961582939571</v>
      </c>
      <c r="AA6" s="921">
        <v>8.3511330316651513</v>
      </c>
      <c r="AB6" s="922">
        <v>8.4290329061652454</v>
      </c>
      <c r="AC6" s="922">
        <v>8.5069327806653394</v>
      </c>
      <c r="AD6" s="922">
        <v>8.5848326551654335</v>
      </c>
      <c r="AE6" s="922">
        <v>8.6627325296655275</v>
      </c>
      <c r="AF6" s="922">
        <v>8.7406324041656216</v>
      </c>
      <c r="AG6" s="922">
        <v>8.8185322786657157</v>
      </c>
      <c r="AH6" s="922">
        <v>8.8964321531658097</v>
      </c>
      <c r="AI6" s="922">
        <v>8.9743320276659038</v>
      </c>
      <c r="AJ6" s="922">
        <v>9.0522319021659978</v>
      </c>
      <c r="AK6" s="922">
        <v>9.1301317766660848</v>
      </c>
      <c r="AL6" s="922">
        <v>9.2578200706648097</v>
      </c>
      <c r="AM6" s="922">
        <v>9.3855083646635347</v>
      </c>
      <c r="AN6" s="922">
        <v>9.5131966586622596</v>
      </c>
      <c r="AO6" s="922">
        <v>9.6408849526609846</v>
      </c>
      <c r="AP6" s="922">
        <v>9.7685732466597095</v>
      </c>
      <c r="AQ6" s="922">
        <v>9.8962615406584344</v>
      </c>
      <c r="AR6" s="922">
        <v>10.023949834657159</v>
      </c>
      <c r="AS6" s="922">
        <v>10.151638128655884</v>
      </c>
      <c r="AT6" s="922">
        <v>10.279326422654609</v>
      </c>
      <c r="AU6" s="922">
        <v>10.407014716653334</v>
      </c>
      <c r="AV6" s="922">
        <v>10.534703010652059</v>
      </c>
      <c r="AW6" s="922">
        <v>10.662391304650784</v>
      </c>
      <c r="AX6" s="922">
        <v>10.790079598649509</v>
      </c>
      <c r="AY6" s="922">
        <v>10.917767892648234</v>
      </c>
      <c r="AZ6" s="923">
        <v>11.045456186646948</v>
      </c>
      <c r="BA6" s="922">
        <v>11.066404719719236</v>
      </c>
      <c r="BB6" s="922">
        <v>11.087353252791523</v>
      </c>
      <c r="BC6" s="922">
        <v>11.10830178586381</v>
      </c>
      <c r="BD6" s="922">
        <v>11.129250318936098</v>
      </c>
      <c r="BE6" s="922">
        <v>11.150198852008385</v>
      </c>
      <c r="BF6" s="922">
        <v>11.171147385080673</v>
      </c>
      <c r="BG6" s="922">
        <v>11.19209591815296</v>
      </c>
      <c r="BH6" s="922">
        <v>11.213044451225247</v>
      </c>
      <c r="BI6" s="922">
        <v>11.233992984297535</v>
      </c>
      <c r="BJ6" s="922">
        <v>11.254941517369822</v>
      </c>
      <c r="BK6" s="922">
        <v>11.27589005044211</v>
      </c>
      <c r="BL6" s="922">
        <v>11.296838583514397</v>
      </c>
      <c r="BM6" s="922">
        <v>11.317787116586684</v>
      </c>
      <c r="BN6" s="922">
        <v>11.338735649658972</v>
      </c>
      <c r="BO6" s="923">
        <v>11.359684182731248</v>
      </c>
      <c r="BP6" s="922">
        <v>11.381228672680008</v>
      </c>
      <c r="BQ6" s="922">
        <v>11.402773162628767</v>
      </c>
      <c r="BR6" s="922">
        <v>11.424317652577527</v>
      </c>
      <c r="BS6" s="922">
        <v>11.445862142526286</v>
      </c>
      <c r="BT6" s="924">
        <v>11.467406632475045</v>
      </c>
    </row>
    <row r="7" spans="1:72" x14ac:dyDescent="0.25">
      <c r="A7" s="925" t="s">
        <v>748</v>
      </c>
      <c r="B7" s="920" t="s">
        <v>747</v>
      </c>
      <c r="C7" s="921">
        <v>5.2088497969877503</v>
      </c>
      <c r="D7" s="921">
        <v>4.0515519538015683</v>
      </c>
      <c r="E7" s="921">
        <v>5.7953765594734321</v>
      </c>
      <c r="F7" s="921">
        <v>6.3059286733843276</v>
      </c>
      <c r="G7" s="921">
        <v>6.3351569917966728</v>
      </c>
      <c r="H7" s="921">
        <v>5.6603640970194089</v>
      </c>
      <c r="I7" s="921">
        <v>5.2154936812958672</v>
      </c>
      <c r="J7" s="921">
        <v>4.824472465605103</v>
      </c>
      <c r="K7" s="921">
        <v>4.7214620293311338</v>
      </c>
      <c r="L7" s="921">
        <v>4.5987567766657387</v>
      </c>
      <c r="M7" s="921">
        <v>4.6224680014376371</v>
      </c>
      <c r="N7" s="921">
        <v>4.6768878495918127</v>
      </c>
      <c r="O7" s="921">
        <v>4.7861952984108127</v>
      </c>
      <c r="P7" s="921">
        <v>4.922351045428587</v>
      </c>
      <c r="Q7" s="921">
        <v>5.0173813554475863</v>
      </c>
      <c r="R7" s="921">
        <v>5.0686005039035118</v>
      </c>
      <c r="S7" s="921">
        <v>5.0229759936062797</v>
      </c>
      <c r="T7" s="921">
        <v>5.0914502886106439</v>
      </c>
      <c r="U7" s="921">
        <v>5.2365480121576597</v>
      </c>
      <c r="V7" s="921">
        <v>5.4816269649649545</v>
      </c>
      <c r="W7" s="921">
        <v>5.5841408180740668</v>
      </c>
      <c r="X7" s="921">
        <v>5.5850370537559959</v>
      </c>
      <c r="Y7" s="921">
        <v>5.6052826350589937</v>
      </c>
      <c r="Z7" s="921">
        <v>5.6612136071582997</v>
      </c>
      <c r="AA7" s="921">
        <v>5.7676752715740598</v>
      </c>
      <c r="AB7" s="922">
        <v>5.8539244792759346</v>
      </c>
      <c r="AC7" s="922">
        <v>5.9401736869778095</v>
      </c>
      <c r="AD7" s="922">
        <v>6.0264228946796843</v>
      </c>
      <c r="AE7" s="922">
        <v>6.1126721023815591</v>
      </c>
      <c r="AF7" s="922">
        <v>6.1989213100834339</v>
      </c>
      <c r="AG7" s="922">
        <v>6.2851705177853088</v>
      </c>
      <c r="AH7" s="922">
        <v>6.3714197254871836</v>
      </c>
      <c r="AI7" s="922">
        <v>6.4576689331890584</v>
      </c>
      <c r="AJ7" s="922">
        <v>6.5439181408909333</v>
      </c>
      <c r="AK7" s="922">
        <v>6.6301673485928063</v>
      </c>
      <c r="AL7" s="922">
        <v>6.7228927087931387</v>
      </c>
      <c r="AM7" s="922">
        <v>6.8156180689934711</v>
      </c>
      <c r="AN7" s="922">
        <v>6.9083434291938035</v>
      </c>
      <c r="AO7" s="922">
        <v>7.0010687893941359</v>
      </c>
      <c r="AP7" s="922">
        <v>7.0937941495944683</v>
      </c>
      <c r="AQ7" s="922">
        <v>7.1865195097948007</v>
      </c>
      <c r="AR7" s="922">
        <v>7.2792448699951331</v>
      </c>
      <c r="AS7" s="922">
        <v>7.3719702301954655</v>
      </c>
      <c r="AT7" s="922">
        <v>7.4646955903957979</v>
      </c>
      <c r="AU7" s="922">
        <v>7.5574209505961303</v>
      </c>
      <c r="AV7" s="922">
        <v>7.6501463107964627</v>
      </c>
      <c r="AW7" s="922">
        <v>7.7428716709967951</v>
      </c>
      <c r="AX7" s="922">
        <v>7.8355970311971275</v>
      </c>
      <c r="AY7" s="922">
        <v>7.9283223913974599</v>
      </c>
      <c r="AZ7" s="923">
        <v>8.021047751597786</v>
      </c>
      <c r="BA7" s="922">
        <v>8.0362602680624171</v>
      </c>
      <c r="BB7" s="922">
        <v>8.0514727845270482</v>
      </c>
      <c r="BC7" s="922">
        <v>8.0666853009916792</v>
      </c>
      <c r="BD7" s="922">
        <v>8.0818978174563103</v>
      </c>
      <c r="BE7" s="922">
        <v>8.0971103339209414</v>
      </c>
      <c r="BF7" s="922">
        <v>8.1123228503855724</v>
      </c>
      <c r="BG7" s="922">
        <v>8.1275353668502035</v>
      </c>
      <c r="BH7" s="922">
        <v>8.1427478833148346</v>
      </c>
      <c r="BI7" s="922">
        <v>8.1579603997794656</v>
      </c>
      <c r="BJ7" s="922">
        <v>8.1731729162440967</v>
      </c>
      <c r="BK7" s="922">
        <v>8.1883854327087278</v>
      </c>
      <c r="BL7" s="922">
        <v>8.2035979491733588</v>
      </c>
      <c r="BM7" s="922">
        <v>8.2188104656379899</v>
      </c>
      <c r="BN7" s="922">
        <v>8.234022982102621</v>
      </c>
      <c r="BO7" s="923">
        <v>8.2492354985672645</v>
      </c>
      <c r="BP7" s="922">
        <v>8.2648807901462327</v>
      </c>
      <c r="BQ7" s="922">
        <v>8.2805260817252009</v>
      </c>
      <c r="BR7" s="922">
        <v>8.2961713733041691</v>
      </c>
      <c r="BS7" s="922">
        <v>8.3118166648831373</v>
      </c>
      <c r="BT7" s="924">
        <v>8.3274619564621091</v>
      </c>
    </row>
    <row r="8" spans="1:72" x14ac:dyDescent="0.25">
      <c r="A8" s="925" t="s">
        <v>749</v>
      </c>
      <c r="B8" s="920" t="s">
        <v>747</v>
      </c>
      <c r="C8" s="921">
        <v>5.6269638934579786</v>
      </c>
      <c r="D8" s="921">
        <v>3.8422456293735823</v>
      </c>
      <c r="E8" s="921">
        <v>5.691139826234779</v>
      </c>
      <c r="F8" s="921">
        <v>6.2376343214286925</v>
      </c>
      <c r="G8" s="921">
        <v>6.1731978092553481</v>
      </c>
      <c r="H8" s="921">
        <v>5.4998161252939477</v>
      </c>
      <c r="I8" s="921">
        <v>5.0667498741509744</v>
      </c>
      <c r="J8" s="921">
        <v>4.6999946247856554</v>
      </c>
      <c r="K8" s="921">
        <v>4.5877827360944901</v>
      </c>
      <c r="L8" s="921">
        <v>4.4974766767249967</v>
      </c>
      <c r="M8" s="921">
        <v>4.5471429464952013</v>
      </c>
      <c r="N8" s="921">
        <v>4.6470168064225401</v>
      </c>
      <c r="O8" s="921">
        <v>4.7885290901615907</v>
      </c>
      <c r="P8" s="921">
        <v>4.9298490038457894</v>
      </c>
      <c r="Q8" s="921">
        <v>5.0143193411377212</v>
      </c>
      <c r="R8" s="921">
        <v>5.0431599369588911</v>
      </c>
      <c r="S8" s="921">
        <v>4.9958503246307417</v>
      </c>
      <c r="T8" s="921">
        <v>5.071809156885692</v>
      </c>
      <c r="U8" s="921">
        <v>5.2209958625289659</v>
      </c>
      <c r="V8" s="921">
        <v>5.4542850660827948</v>
      </c>
      <c r="W8" s="921">
        <v>5.5514960671370845</v>
      </c>
      <c r="X8" s="921">
        <v>5.5489887943807661</v>
      </c>
      <c r="Y8" s="921">
        <v>5.5622220646660265</v>
      </c>
      <c r="Z8" s="921">
        <v>5.6263508841676488</v>
      </c>
      <c r="AA8" s="921">
        <v>5.730461856104295</v>
      </c>
      <c r="AB8" s="922">
        <v>5.8123040182474703</v>
      </c>
      <c r="AC8" s="922">
        <v>5.8941461803906456</v>
      </c>
      <c r="AD8" s="922">
        <v>5.9759883425338209</v>
      </c>
      <c r="AE8" s="922">
        <v>6.0578305046769962</v>
      </c>
      <c r="AF8" s="922">
        <v>6.1396726668201715</v>
      </c>
      <c r="AG8" s="922">
        <v>6.2215148289633468</v>
      </c>
      <c r="AH8" s="922">
        <v>6.3033569911065221</v>
      </c>
      <c r="AI8" s="922">
        <v>6.3851991532496974</v>
      </c>
      <c r="AJ8" s="922">
        <v>6.4670413153928727</v>
      </c>
      <c r="AK8" s="922">
        <v>6.5488834775360516</v>
      </c>
      <c r="AL8" s="922">
        <v>6.6404720525202734</v>
      </c>
      <c r="AM8" s="922">
        <v>6.7320606275044952</v>
      </c>
      <c r="AN8" s="922">
        <v>6.823649202488717</v>
      </c>
      <c r="AO8" s="922">
        <v>6.9152377774729388</v>
      </c>
      <c r="AP8" s="922">
        <v>7.0068263524571606</v>
      </c>
      <c r="AQ8" s="922">
        <v>7.0984149274413824</v>
      </c>
      <c r="AR8" s="922">
        <v>7.1900035024256042</v>
      </c>
      <c r="AS8" s="922">
        <v>7.2815920774098259</v>
      </c>
      <c r="AT8" s="922">
        <v>7.3731806523940477</v>
      </c>
      <c r="AU8" s="922">
        <v>7.4647692273782695</v>
      </c>
      <c r="AV8" s="922">
        <v>7.5563578023624913</v>
      </c>
      <c r="AW8" s="922">
        <v>7.6479463773467131</v>
      </c>
      <c r="AX8" s="922">
        <v>7.7395349523309349</v>
      </c>
      <c r="AY8" s="922">
        <v>7.8311235273151567</v>
      </c>
      <c r="AZ8" s="923">
        <v>7.9227121022993829</v>
      </c>
      <c r="BA8" s="922">
        <v>7.9377381178566102</v>
      </c>
      <c r="BB8" s="922">
        <v>7.9527641334138375</v>
      </c>
      <c r="BC8" s="922">
        <v>7.9677901489710647</v>
      </c>
      <c r="BD8" s="922">
        <v>7.982816164528292</v>
      </c>
      <c r="BE8" s="922">
        <v>7.9978421800855193</v>
      </c>
      <c r="BF8" s="922">
        <v>8.0128681956427457</v>
      </c>
      <c r="BG8" s="922">
        <v>8.0278942111999729</v>
      </c>
      <c r="BH8" s="922">
        <v>8.0429202267572002</v>
      </c>
      <c r="BI8" s="922">
        <v>8.0579462423144275</v>
      </c>
      <c r="BJ8" s="922">
        <v>8.0729722578716547</v>
      </c>
      <c r="BK8" s="922">
        <v>8.087998273428882</v>
      </c>
      <c r="BL8" s="922">
        <v>8.1030242889861093</v>
      </c>
      <c r="BM8" s="922">
        <v>8.1180503045433365</v>
      </c>
      <c r="BN8" s="922">
        <v>8.1330763201005638</v>
      </c>
      <c r="BO8" s="923">
        <v>8.1481023356577857</v>
      </c>
      <c r="BP8" s="922">
        <v>8.1635558206357306</v>
      </c>
      <c r="BQ8" s="922">
        <v>8.1790093056136755</v>
      </c>
      <c r="BR8" s="922">
        <v>8.1944627905916203</v>
      </c>
      <c r="BS8" s="922">
        <v>8.2099162755695652</v>
      </c>
      <c r="BT8" s="924">
        <v>8.2253697605475136</v>
      </c>
    </row>
    <row r="9" spans="1:72" x14ac:dyDescent="0.25">
      <c r="A9" s="1649" t="s">
        <v>750</v>
      </c>
      <c r="B9" s="1650"/>
      <c r="C9" s="1650"/>
      <c r="D9" s="1650"/>
      <c r="E9" s="1650"/>
      <c r="F9" s="1650"/>
      <c r="G9" s="1650"/>
      <c r="H9" s="1650"/>
      <c r="I9" s="1650"/>
      <c r="J9" s="1650"/>
      <c r="K9" s="1650"/>
      <c r="L9" s="1650"/>
      <c r="M9" s="1650"/>
      <c r="N9" s="1650"/>
      <c r="O9" s="1650"/>
      <c r="P9" s="1650"/>
      <c r="Q9" s="1650"/>
      <c r="R9" s="1650"/>
      <c r="S9" s="1650"/>
      <c r="T9" s="1650"/>
      <c r="U9" s="1650"/>
      <c r="V9" s="1650"/>
      <c r="W9" s="1650"/>
      <c r="X9" s="1650"/>
      <c r="Y9" s="1650"/>
      <c r="Z9" s="1650"/>
      <c r="AA9" s="1650"/>
      <c r="AB9" s="1650"/>
      <c r="AC9" s="1650"/>
      <c r="AD9" s="1650"/>
      <c r="AE9" s="1650"/>
      <c r="AF9" s="1650"/>
      <c r="AG9" s="1650"/>
      <c r="AH9" s="1650"/>
      <c r="AI9" s="1650"/>
      <c r="AJ9" s="1650"/>
      <c r="AK9" s="1650"/>
      <c r="AL9" s="1650"/>
      <c r="AM9" s="1650"/>
      <c r="AN9" s="1650"/>
      <c r="AO9" s="1650"/>
      <c r="AP9" s="1650"/>
      <c r="AQ9" s="1650"/>
      <c r="AR9" s="1650"/>
      <c r="AS9" s="1650"/>
      <c r="AT9" s="1650"/>
      <c r="AU9" s="1650"/>
      <c r="AV9" s="1650"/>
      <c r="AW9" s="1650"/>
      <c r="AX9" s="1650"/>
      <c r="AY9" s="1650"/>
      <c r="AZ9" s="1650"/>
      <c r="BA9" s="1650"/>
      <c r="BB9" s="1650"/>
      <c r="BC9" s="1650"/>
      <c r="BD9" s="1650"/>
      <c r="BE9" s="1650"/>
      <c r="BF9" s="1650"/>
      <c r="BG9" s="1650"/>
      <c r="BH9" s="1650"/>
      <c r="BI9" s="1650"/>
      <c r="BJ9" s="1650"/>
      <c r="BK9" s="1650"/>
      <c r="BL9" s="1650"/>
      <c r="BM9" s="1650"/>
      <c r="BN9" s="1650"/>
      <c r="BO9" s="1650"/>
      <c r="BP9" s="1650"/>
      <c r="BQ9" s="1650"/>
      <c r="BR9" s="1650"/>
      <c r="BS9" s="1650"/>
      <c r="BT9" s="1651"/>
    </row>
    <row r="10" spans="1:72" x14ac:dyDescent="0.25">
      <c r="A10" s="925" t="s">
        <v>683</v>
      </c>
      <c r="B10" s="920" t="s">
        <v>747</v>
      </c>
      <c r="C10" s="921">
        <v>24.866788774356646</v>
      </c>
      <c r="D10" s="921">
        <v>24.345010037692106</v>
      </c>
      <c r="E10" s="921">
        <v>24.223933219909672</v>
      </c>
      <c r="F10" s="921">
        <v>24.020635352944481</v>
      </c>
      <c r="G10" s="921">
        <v>23.91295186528621</v>
      </c>
      <c r="H10" s="921">
        <v>22.837542614846832</v>
      </c>
      <c r="I10" s="921">
        <v>21.69091966017233</v>
      </c>
      <c r="J10" s="921">
        <v>21.090846376599046</v>
      </c>
      <c r="K10" s="921">
        <v>21.058556043876806</v>
      </c>
      <c r="L10" s="921">
        <v>20.987678365887316</v>
      </c>
      <c r="M10" s="921">
        <v>20.983490961902529</v>
      </c>
      <c r="N10" s="921">
        <v>21.313707333690761</v>
      </c>
      <c r="O10" s="921">
        <v>21.638938984780914</v>
      </c>
      <c r="P10" s="921">
        <v>22.13258341123478</v>
      </c>
      <c r="Q10" s="921">
        <v>22.313049388381657</v>
      </c>
      <c r="R10" s="921">
        <v>22.486876361774936</v>
      </c>
      <c r="S10" s="921">
        <v>22.494946956634521</v>
      </c>
      <c r="T10" s="921">
        <v>22.662665807975912</v>
      </c>
      <c r="U10" s="921">
        <v>22.922821701697636</v>
      </c>
      <c r="V10" s="921">
        <v>23.270139622238439</v>
      </c>
      <c r="W10" s="921">
        <v>23.509686568997985</v>
      </c>
      <c r="X10" s="921">
        <v>23.493712398241108</v>
      </c>
      <c r="Y10" s="921">
        <v>23.423848763951703</v>
      </c>
      <c r="Z10" s="921">
        <v>23.513217827059155</v>
      </c>
      <c r="AA10" s="921">
        <v>23.645542576627872</v>
      </c>
      <c r="AB10" s="922">
        <v>23.786749293232678</v>
      </c>
      <c r="AC10" s="922">
        <v>23.927956009837484</v>
      </c>
      <c r="AD10" s="922">
        <v>24.06916272644229</v>
      </c>
      <c r="AE10" s="922">
        <v>24.210369443047096</v>
      </c>
      <c r="AF10" s="922">
        <v>24.351576159651902</v>
      </c>
      <c r="AG10" s="922">
        <v>24.492782876256708</v>
      </c>
      <c r="AH10" s="922">
        <v>24.633989592861514</v>
      </c>
      <c r="AI10" s="922">
        <v>24.77519630946632</v>
      </c>
      <c r="AJ10" s="922">
        <v>24.916403026071126</v>
      </c>
      <c r="AK10" s="922">
        <v>25.057609742675933</v>
      </c>
      <c r="AL10" s="922">
        <v>25.047759076850095</v>
      </c>
      <c r="AM10" s="922">
        <v>25.037908411024258</v>
      </c>
      <c r="AN10" s="922">
        <v>25.028057745198421</v>
      </c>
      <c r="AO10" s="922">
        <v>25.018207079372583</v>
      </c>
      <c r="AP10" s="922">
        <v>25.008356413546746</v>
      </c>
      <c r="AQ10" s="922">
        <v>24.998505747720909</v>
      </c>
      <c r="AR10" s="922">
        <v>24.988655081895072</v>
      </c>
      <c r="AS10" s="922">
        <v>24.978804416069234</v>
      </c>
      <c r="AT10" s="922">
        <v>24.968953750243397</v>
      </c>
      <c r="AU10" s="922">
        <v>24.95910308441756</v>
      </c>
      <c r="AV10" s="922">
        <v>24.949252418591723</v>
      </c>
      <c r="AW10" s="922">
        <v>24.939401752765885</v>
      </c>
      <c r="AX10" s="922">
        <v>24.929551086940048</v>
      </c>
      <c r="AY10" s="922">
        <v>24.919700421114211</v>
      </c>
      <c r="AZ10" s="923">
        <v>24.90984975528837</v>
      </c>
      <c r="BA10" s="922">
        <v>24.925673674379027</v>
      </c>
      <c r="BB10" s="922">
        <v>24.941497593469684</v>
      </c>
      <c r="BC10" s="922">
        <v>24.957321512560341</v>
      </c>
      <c r="BD10" s="922">
        <v>24.973145431650998</v>
      </c>
      <c r="BE10" s="922">
        <v>24.988969350741655</v>
      </c>
      <c r="BF10" s="922">
        <v>25.004793269832312</v>
      </c>
      <c r="BG10" s="922">
        <v>25.020617188922969</v>
      </c>
      <c r="BH10" s="922">
        <v>25.036441108013626</v>
      </c>
      <c r="BI10" s="922">
        <v>25.052265027104283</v>
      </c>
      <c r="BJ10" s="922">
        <v>25.068088946194941</v>
      </c>
      <c r="BK10" s="922">
        <v>25.083912865285598</v>
      </c>
      <c r="BL10" s="922">
        <v>25.099736784376255</v>
      </c>
      <c r="BM10" s="922">
        <v>25.115560703466912</v>
      </c>
      <c r="BN10" s="922">
        <v>25.131384622557569</v>
      </c>
      <c r="BO10" s="923">
        <v>25.147208541648205</v>
      </c>
      <c r="BP10" s="922">
        <v>25.163183242307905</v>
      </c>
      <c r="BQ10" s="922">
        <v>25.179157942967606</v>
      </c>
      <c r="BR10" s="922">
        <v>25.195132643627307</v>
      </c>
      <c r="BS10" s="922">
        <v>25.211107344287008</v>
      </c>
      <c r="BT10" s="924">
        <v>25.227082044946716</v>
      </c>
    </row>
    <row r="11" spans="1:72" x14ac:dyDescent="0.25">
      <c r="A11" s="925" t="s">
        <v>698</v>
      </c>
      <c r="B11" s="920" t="s">
        <v>747</v>
      </c>
      <c r="C11" s="921">
        <v>16.038863482553147</v>
      </c>
      <c r="D11" s="921">
        <v>15.36037109932807</v>
      </c>
      <c r="E11" s="921">
        <v>15.664056310113844</v>
      </c>
      <c r="F11" s="921">
        <v>16.390134465019642</v>
      </c>
      <c r="G11" s="921">
        <v>16.26049394877451</v>
      </c>
      <c r="H11" s="921">
        <v>15.718549229064077</v>
      </c>
      <c r="I11" s="921">
        <v>15.083546116666987</v>
      </c>
      <c r="J11" s="921">
        <v>14.764544869368896</v>
      </c>
      <c r="K11" s="921">
        <v>14.679648534306921</v>
      </c>
      <c r="L11" s="921">
        <v>14.510741661179726</v>
      </c>
      <c r="M11" s="921">
        <v>14.370329416023063</v>
      </c>
      <c r="N11" s="921">
        <v>14.522587083420669</v>
      </c>
      <c r="O11" s="921">
        <v>14.791267903345901</v>
      </c>
      <c r="P11" s="921">
        <v>15.142176731577413</v>
      </c>
      <c r="Q11" s="921">
        <v>15.304996360023072</v>
      </c>
      <c r="R11" s="921">
        <v>15.443286072533045</v>
      </c>
      <c r="S11" s="921">
        <v>15.485992224711291</v>
      </c>
      <c r="T11" s="921">
        <v>15.663456831338236</v>
      </c>
      <c r="U11" s="921">
        <v>15.910829809476709</v>
      </c>
      <c r="V11" s="921">
        <v>16.241389166634008</v>
      </c>
      <c r="W11" s="921">
        <v>16.419768400912066</v>
      </c>
      <c r="X11" s="921">
        <v>16.405212897174714</v>
      </c>
      <c r="Y11" s="921">
        <v>16.372526888577397</v>
      </c>
      <c r="Z11" s="921">
        <v>16.449089176249931</v>
      </c>
      <c r="AA11" s="921">
        <v>16.568027554817903</v>
      </c>
      <c r="AB11" s="922">
        <v>16.704753726753587</v>
      </c>
      <c r="AC11" s="922">
        <v>16.841479898689272</v>
      </c>
      <c r="AD11" s="922">
        <v>16.978206070624957</v>
      </c>
      <c r="AE11" s="922">
        <v>17.114932242560641</v>
      </c>
      <c r="AF11" s="922">
        <v>17.251658414496326</v>
      </c>
      <c r="AG11" s="922">
        <v>17.388384586432011</v>
      </c>
      <c r="AH11" s="922">
        <v>17.525110758367695</v>
      </c>
      <c r="AI11" s="922">
        <v>17.66183693030338</v>
      </c>
      <c r="AJ11" s="922">
        <v>17.798563102239065</v>
      </c>
      <c r="AK11" s="922">
        <v>17.935289274174743</v>
      </c>
      <c r="AL11" s="922">
        <v>17.928238540168429</v>
      </c>
      <c r="AM11" s="922">
        <v>17.921187806162116</v>
      </c>
      <c r="AN11" s="922">
        <v>17.914137072155803</v>
      </c>
      <c r="AO11" s="922">
        <v>17.90708633814949</v>
      </c>
      <c r="AP11" s="922">
        <v>17.900035604143177</v>
      </c>
      <c r="AQ11" s="922">
        <v>17.892984870136864</v>
      </c>
      <c r="AR11" s="922">
        <v>17.885934136130551</v>
      </c>
      <c r="AS11" s="922">
        <v>17.878883402124238</v>
      </c>
      <c r="AT11" s="922">
        <v>17.871832668117925</v>
      </c>
      <c r="AU11" s="922">
        <v>17.864781934111612</v>
      </c>
      <c r="AV11" s="922">
        <v>17.857731200105299</v>
      </c>
      <c r="AW11" s="922">
        <v>17.850680466098986</v>
      </c>
      <c r="AX11" s="922">
        <v>17.843629732092673</v>
      </c>
      <c r="AY11" s="922">
        <v>17.83657899808636</v>
      </c>
      <c r="AZ11" s="923">
        <v>17.829528264080036</v>
      </c>
      <c r="BA11" s="922">
        <v>17.840854426840831</v>
      </c>
      <c r="BB11" s="922">
        <v>17.852180589601627</v>
      </c>
      <c r="BC11" s="922">
        <v>17.863506752362422</v>
      </c>
      <c r="BD11" s="922">
        <v>17.874832915123218</v>
      </c>
      <c r="BE11" s="922">
        <v>17.886159077884013</v>
      </c>
      <c r="BF11" s="922">
        <v>17.897485240644809</v>
      </c>
      <c r="BG11" s="922">
        <v>17.908811403405604</v>
      </c>
      <c r="BH11" s="922">
        <v>17.9201375661664</v>
      </c>
      <c r="BI11" s="922">
        <v>17.931463728927195</v>
      </c>
      <c r="BJ11" s="922">
        <v>17.94278989168799</v>
      </c>
      <c r="BK11" s="922">
        <v>17.954116054448786</v>
      </c>
      <c r="BL11" s="922">
        <v>17.965442217209581</v>
      </c>
      <c r="BM11" s="922">
        <v>17.976768379970377</v>
      </c>
      <c r="BN11" s="922">
        <v>17.988094542731172</v>
      </c>
      <c r="BO11" s="923">
        <v>17.999420705491971</v>
      </c>
      <c r="BP11" s="922">
        <v>18.010854791996724</v>
      </c>
      <c r="BQ11" s="922">
        <v>18.022288878501477</v>
      </c>
      <c r="BR11" s="922">
        <v>18.033722965006231</v>
      </c>
      <c r="BS11" s="922">
        <v>18.045157051510984</v>
      </c>
      <c r="BT11" s="924">
        <v>18.056591138015737</v>
      </c>
    </row>
    <row r="12" spans="1:72" x14ac:dyDescent="0.25">
      <c r="A12" s="926" t="s">
        <v>751</v>
      </c>
      <c r="B12" s="920"/>
      <c r="C12" s="920"/>
      <c r="D12" s="920"/>
      <c r="E12" s="920"/>
      <c r="F12" s="920"/>
      <c r="G12" s="920"/>
      <c r="H12" s="920"/>
      <c r="I12" s="920"/>
      <c r="J12" s="920"/>
      <c r="K12" s="920"/>
      <c r="L12" s="920"/>
      <c r="M12" s="920"/>
      <c r="N12" s="920"/>
      <c r="O12" s="920"/>
      <c r="P12" s="920"/>
      <c r="Q12" s="920"/>
      <c r="R12" s="920"/>
      <c r="S12" s="920"/>
      <c r="T12" s="920"/>
      <c r="U12" s="920"/>
      <c r="V12" s="920"/>
      <c r="W12" s="920"/>
      <c r="X12" s="920"/>
      <c r="Y12" s="920"/>
      <c r="Z12" s="920"/>
      <c r="AA12" s="920"/>
      <c r="AB12" s="920"/>
      <c r="AC12" s="920"/>
      <c r="AD12" s="920"/>
      <c r="AE12" s="920"/>
      <c r="AF12" s="920"/>
      <c r="AG12" s="920"/>
      <c r="AH12" s="920"/>
      <c r="AI12" s="920"/>
      <c r="AJ12" s="920"/>
      <c r="AK12" s="920"/>
      <c r="AL12" s="920"/>
      <c r="AM12" s="920"/>
      <c r="AN12" s="920"/>
      <c r="AO12" s="920"/>
      <c r="AP12" s="920"/>
      <c r="AQ12" s="920"/>
      <c r="AR12" s="920"/>
      <c r="AS12" s="920"/>
      <c r="AT12" s="920"/>
      <c r="AU12" s="920"/>
      <c r="AV12" s="920"/>
      <c r="AW12" s="920"/>
      <c r="AX12" s="920"/>
      <c r="AY12" s="920"/>
      <c r="AZ12" s="920"/>
      <c r="BA12" s="920"/>
      <c r="BB12" s="920"/>
      <c r="BC12" s="920"/>
      <c r="BD12" s="920"/>
      <c r="BE12" s="920"/>
      <c r="BF12" s="920"/>
      <c r="BG12" s="920"/>
      <c r="BH12" s="920"/>
      <c r="BI12" s="920"/>
      <c r="BJ12" s="920"/>
      <c r="BK12" s="920"/>
      <c r="BL12" s="920"/>
      <c r="BM12" s="920"/>
      <c r="BN12" s="920"/>
      <c r="BO12" s="920"/>
      <c r="BP12" s="920"/>
      <c r="BQ12" s="920"/>
      <c r="BR12" s="920"/>
      <c r="BS12" s="920"/>
      <c r="BT12" s="927"/>
    </row>
    <row r="13" spans="1:72" x14ac:dyDescent="0.25">
      <c r="A13" s="925" t="s">
        <v>1087</v>
      </c>
      <c r="B13" s="920" t="s">
        <v>747</v>
      </c>
      <c r="C13" s="921">
        <v>1.3268491834774256</v>
      </c>
      <c r="D13" s="921">
        <v>1.32388562245189</v>
      </c>
      <c r="E13" s="921">
        <v>1.3334961719108085</v>
      </c>
      <c r="F13" s="921">
        <v>1.3380821099821107</v>
      </c>
      <c r="G13" s="921">
        <v>1.3443425871291239</v>
      </c>
      <c r="H13" s="921">
        <v>1.3528785733681756</v>
      </c>
      <c r="I13" s="921">
        <v>1.3415886383011697</v>
      </c>
      <c r="J13" s="921">
        <v>1.3403624656065469</v>
      </c>
      <c r="K13" s="921">
        <v>1.330997225248586</v>
      </c>
      <c r="L13" s="921">
        <v>1.3164209684110997</v>
      </c>
      <c r="M13" s="921">
        <v>1.3072140481112184</v>
      </c>
      <c r="N13" s="921">
        <v>1.3019573002491378</v>
      </c>
      <c r="O13" s="921">
        <v>1.2978333982656636</v>
      </c>
      <c r="P13" s="921">
        <v>1.295833644439585</v>
      </c>
      <c r="Q13" s="921">
        <v>1.2953486183904279</v>
      </c>
      <c r="R13" s="921">
        <v>1.2970626753456174</v>
      </c>
      <c r="S13" s="921">
        <v>1.2955796364343368</v>
      </c>
      <c r="T13" s="921">
        <v>1.3002382724914889</v>
      </c>
      <c r="U13" s="921">
        <v>1.3044509032987155</v>
      </c>
      <c r="V13" s="921">
        <v>1.3304805103337984</v>
      </c>
      <c r="W13" s="921">
        <v>1.3397570218680066</v>
      </c>
      <c r="X13" s="921">
        <v>1.3519914094007222</v>
      </c>
      <c r="Y13" s="921">
        <v>1.3569265463442153</v>
      </c>
      <c r="Z13" s="921">
        <v>1.3726611244228613</v>
      </c>
      <c r="AA13" s="921">
        <v>1.3854931266802686</v>
      </c>
      <c r="AB13" s="922">
        <v>1.3951349014789893</v>
      </c>
      <c r="AC13" s="922">
        <v>1.4047766762777101</v>
      </c>
      <c r="AD13" s="922">
        <v>1.4144184510764308</v>
      </c>
      <c r="AE13" s="922">
        <v>1.4240602258751516</v>
      </c>
      <c r="AF13" s="922">
        <v>1.4337020006738723</v>
      </c>
      <c r="AG13" s="922">
        <v>1.4433437754725931</v>
      </c>
      <c r="AH13" s="922">
        <v>1.4529855502713138</v>
      </c>
      <c r="AI13" s="922">
        <v>1.4626273250700346</v>
      </c>
      <c r="AJ13" s="922">
        <v>1.4722690998687553</v>
      </c>
      <c r="AK13" s="922">
        <v>1.481910874667477</v>
      </c>
      <c r="AL13" s="922">
        <v>1.4862555877963981</v>
      </c>
      <c r="AM13" s="922">
        <v>1.4906003009253193</v>
      </c>
      <c r="AN13" s="922">
        <v>1.4949450140542404</v>
      </c>
      <c r="AO13" s="922">
        <v>1.4992897271831616</v>
      </c>
      <c r="AP13" s="922">
        <v>1.5036344403120827</v>
      </c>
      <c r="AQ13" s="922">
        <v>1.5079791534410039</v>
      </c>
      <c r="AR13" s="922">
        <v>1.512323866569925</v>
      </c>
      <c r="AS13" s="922">
        <v>1.5166685796988462</v>
      </c>
      <c r="AT13" s="922">
        <v>1.5210132928277673</v>
      </c>
      <c r="AU13" s="922">
        <v>1.5253580059566885</v>
      </c>
      <c r="AV13" s="922">
        <v>1.5297027190856096</v>
      </c>
      <c r="AW13" s="922">
        <v>1.5340474322145308</v>
      </c>
      <c r="AX13" s="922">
        <v>1.5383921453434519</v>
      </c>
      <c r="AY13" s="922">
        <v>1.5427368584723731</v>
      </c>
      <c r="AZ13" s="923">
        <v>1.5470815716012942</v>
      </c>
      <c r="BA13" s="922">
        <v>1.5500157274134729</v>
      </c>
      <c r="BB13" s="922">
        <v>1.5529498832256516</v>
      </c>
      <c r="BC13" s="922">
        <v>1.5558840390378303</v>
      </c>
      <c r="BD13" s="922">
        <v>1.5588181948500091</v>
      </c>
      <c r="BE13" s="922">
        <v>1.5617523506621878</v>
      </c>
      <c r="BF13" s="922">
        <v>1.5646865064743665</v>
      </c>
      <c r="BG13" s="922">
        <v>1.5676206622865452</v>
      </c>
      <c r="BH13" s="922">
        <v>1.5705548180987239</v>
      </c>
      <c r="BI13" s="922">
        <v>1.5734889739109026</v>
      </c>
      <c r="BJ13" s="922">
        <v>1.5764231297230813</v>
      </c>
      <c r="BK13" s="922">
        <v>1.57935728553526</v>
      </c>
      <c r="BL13" s="922">
        <v>1.5822914413474387</v>
      </c>
      <c r="BM13" s="922">
        <v>1.5852255971596174</v>
      </c>
      <c r="BN13" s="922">
        <v>1.5881597529717961</v>
      </c>
      <c r="BO13" s="923">
        <v>1.5910939087839742</v>
      </c>
      <c r="BP13" s="922">
        <v>1.5941115372826113</v>
      </c>
      <c r="BQ13" s="922">
        <v>1.5971291657812485</v>
      </c>
      <c r="BR13" s="922">
        <v>1.6001467942798857</v>
      </c>
      <c r="BS13" s="922">
        <v>1.6031644227785229</v>
      </c>
      <c r="BT13" s="924">
        <v>1.6061820512771605</v>
      </c>
    </row>
    <row r="14" spans="1:72" x14ac:dyDescent="0.25">
      <c r="A14" s="1649" t="s">
        <v>752</v>
      </c>
      <c r="B14" s="1650"/>
      <c r="C14" s="1650"/>
      <c r="D14" s="1650"/>
      <c r="E14" s="1650"/>
      <c r="F14" s="1650"/>
      <c r="G14" s="1650"/>
      <c r="H14" s="1650"/>
      <c r="I14" s="1650"/>
      <c r="J14" s="1650"/>
      <c r="K14" s="1650"/>
      <c r="L14" s="1650"/>
      <c r="M14" s="1650"/>
      <c r="N14" s="1650"/>
      <c r="O14" s="1650"/>
      <c r="P14" s="1650"/>
      <c r="Q14" s="1650"/>
      <c r="R14" s="1650"/>
      <c r="S14" s="1650"/>
      <c r="T14" s="1650"/>
      <c r="U14" s="1650"/>
      <c r="V14" s="1650"/>
      <c r="W14" s="1650"/>
      <c r="X14" s="1650"/>
      <c r="Y14" s="1650"/>
      <c r="Z14" s="1650"/>
      <c r="AA14" s="1650"/>
      <c r="AB14" s="1650"/>
      <c r="AC14" s="1650"/>
      <c r="AD14" s="1650"/>
      <c r="AE14" s="1650"/>
      <c r="AF14" s="1650"/>
      <c r="AG14" s="1650"/>
      <c r="AH14" s="1650"/>
      <c r="AI14" s="1650"/>
      <c r="AJ14" s="1650"/>
      <c r="AK14" s="1650"/>
      <c r="AL14" s="1650"/>
      <c r="AM14" s="1650"/>
      <c r="AN14" s="1650"/>
      <c r="AO14" s="1650"/>
      <c r="AP14" s="1650"/>
      <c r="AQ14" s="1650"/>
      <c r="AR14" s="1650"/>
      <c r="AS14" s="1650"/>
      <c r="AT14" s="1650"/>
      <c r="AU14" s="1650"/>
      <c r="AV14" s="1650"/>
      <c r="AW14" s="1650"/>
      <c r="AX14" s="1650"/>
      <c r="AY14" s="1650"/>
      <c r="AZ14" s="1650"/>
      <c r="BA14" s="1650"/>
      <c r="BB14" s="1650"/>
      <c r="BC14" s="1650"/>
      <c r="BD14" s="1650"/>
      <c r="BE14" s="1650"/>
      <c r="BF14" s="1650"/>
      <c r="BG14" s="1650"/>
      <c r="BH14" s="1650"/>
      <c r="BI14" s="1650"/>
      <c r="BJ14" s="1650"/>
      <c r="BK14" s="1650"/>
      <c r="BL14" s="1650"/>
      <c r="BM14" s="1650"/>
      <c r="BN14" s="1650"/>
      <c r="BO14" s="1650"/>
      <c r="BP14" s="1650"/>
      <c r="BQ14" s="1650"/>
      <c r="BR14" s="1650"/>
      <c r="BS14" s="1650"/>
      <c r="BT14" s="1651"/>
    </row>
    <row r="15" spans="1:72" ht="23" x14ac:dyDescent="0.25">
      <c r="A15" s="919" t="s">
        <v>753</v>
      </c>
      <c r="B15" s="920" t="s">
        <v>747</v>
      </c>
      <c r="C15" s="921">
        <v>10.789461735918687</v>
      </c>
      <c r="D15" s="921">
        <v>9.9590971559848445</v>
      </c>
      <c r="E15" s="921">
        <v>11.383831536994775</v>
      </c>
      <c r="F15" s="921">
        <v>12.531178240506115</v>
      </c>
      <c r="G15" s="921">
        <v>12.036300060884058</v>
      </c>
      <c r="H15" s="921">
        <v>12.613383383121093</v>
      </c>
      <c r="I15" s="921">
        <v>13.01890940036416</v>
      </c>
      <c r="J15" s="921">
        <v>12.908589399085846</v>
      </c>
      <c r="K15" s="921">
        <v>12.946875513724528</v>
      </c>
      <c r="L15" s="921">
        <v>13.039098811599491</v>
      </c>
      <c r="M15" s="921">
        <v>13.088955960183741</v>
      </c>
      <c r="N15" s="921">
        <v>13.133508268392355</v>
      </c>
      <c r="O15" s="921">
        <v>13.038477461293056</v>
      </c>
      <c r="P15" s="921">
        <v>12.989168095138872</v>
      </c>
      <c r="Q15" s="921">
        <v>12.752903866318045</v>
      </c>
      <c r="R15" s="921">
        <v>12.539506322932722</v>
      </c>
      <c r="S15" s="921">
        <v>12.335074118848111</v>
      </c>
      <c r="T15" s="921">
        <v>12.292193988584152</v>
      </c>
      <c r="U15" s="921">
        <v>12.304560350921868</v>
      </c>
      <c r="V15" s="921">
        <v>12.340337204483362</v>
      </c>
      <c r="W15" s="921">
        <v>12.418707870087554</v>
      </c>
      <c r="X15" s="921">
        <v>12.438495640484758</v>
      </c>
      <c r="Y15" s="921">
        <v>12.492141534697302</v>
      </c>
      <c r="Z15" s="921">
        <v>12.624332072599859</v>
      </c>
      <c r="AA15" s="921">
        <v>13.025979869770596</v>
      </c>
      <c r="AB15" s="921">
        <v>13.053872203635709</v>
      </c>
      <c r="AC15" s="921">
        <v>13.081764537500822</v>
      </c>
      <c r="AD15" s="921">
        <v>13.109656871365935</v>
      </c>
      <c r="AE15" s="921">
        <v>13.137549205231048</v>
      </c>
      <c r="AF15" s="921">
        <v>13.165441539096161</v>
      </c>
      <c r="AG15" s="921">
        <v>13.193333872961274</v>
      </c>
      <c r="AH15" s="921">
        <v>13.221226206826387</v>
      </c>
      <c r="AI15" s="921">
        <v>13.2491185406915</v>
      </c>
      <c r="AJ15" s="921">
        <v>13.277010874556613</v>
      </c>
      <c r="AK15" s="921">
        <v>13.304903208421727</v>
      </c>
      <c r="AL15" s="921">
        <v>13.445726499778688</v>
      </c>
      <c r="AM15" s="921">
        <v>13.586549791135649</v>
      </c>
      <c r="AN15" s="921">
        <v>13.72737308249261</v>
      </c>
      <c r="AO15" s="921">
        <v>13.868196373849571</v>
      </c>
      <c r="AP15" s="921">
        <v>14.009019665206532</v>
      </c>
      <c r="AQ15" s="921">
        <v>14.149842956563493</v>
      </c>
      <c r="AR15" s="921">
        <v>14.290666247920454</v>
      </c>
      <c r="AS15" s="921">
        <v>14.431489539277415</v>
      </c>
      <c r="AT15" s="921">
        <v>14.572312830634376</v>
      </c>
      <c r="AU15" s="921">
        <v>14.713136121991337</v>
      </c>
      <c r="AV15" s="921">
        <v>14.853959413348298</v>
      </c>
      <c r="AW15" s="921">
        <v>14.994782704705258</v>
      </c>
      <c r="AX15" s="921">
        <v>15.135605996062219</v>
      </c>
      <c r="AY15" s="921">
        <v>15.27642928741918</v>
      </c>
      <c r="AZ15" s="921">
        <v>15.417252578776129</v>
      </c>
      <c r="BA15" s="921">
        <v>15.505038084680947</v>
      </c>
      <c r="BB15" s="921">
        <v>15.592823590585766</v>
      </c>
      <c r="BC15" s="921">
        <v>15.680609096490585</v>
      </c>
      <c r="BD15" s="921">
        <v>15.768394602395404</v>
      </c>
      <c r="BE15" s="921">
        <v>15.856180108300222</v>
      </c>
      <c r="BF15" s="921">
        <v>15.943965614205041</v>
      </c>
      <c r="BG15" s="921">
        <v>16.03175112010986</v>
      </c>
      <c r="BH15" s="921">
        <v>16.119536626014678</v>
      </c>
      <c r="BI15" s="921">
        <v>16.207322131919497</v>
      </c>
      <c r="BJ15" s="921">
        <v>16.295107637824316</v>
      </c>
      <c r="BK15" s="921">
        <v>16.382893143729135</v>
      </c>
      <c r="BL15" s="921">
        <v>16.470678649633953</v>
      </c>
      <c r="BM15" s="921">
        <v>16.558464155538772</v>
      </c>
      <c r="BN15" s="921">
        <v>16.646249661443591</v>
      </c>
      <c r="BO15" s="921">
        <v>16.734035167348416</v>
      </c>
      <c r="BP15" s="921">
        <v>16.829318405103567</v>
      </c>
      <c r="BQ15" s="921">
        <v>16.924601642858718</v>
      </c>
      <c r="BR15" s="921">
        <v>17.019884880613869</v>
      </c>
      <c r="BS15" s="921">
        <v>17.11516811836902</v>
      </c>
      <c r="BT15" s="928">
        <v>17.210451356124164</v>
      </c>
    </row>
    <row r="16" spans="1:72" x14ac:dyDescent="0.25">
      <c r="A16" s="925" t="s">
        <v>754</v>
      </c>
      <c r="B16" s="920" t="s">
        <v>747</v>
      </c>
      <c r="C16" s="921">
        <v>12.730520250245322</v>
      </c>
      <c r="D16" s="921">
        <v>11.801320287416596</v>
      </c>
      <c r="E16" s="921">
        <v>13.477350603859424</v>
      </c>
      <c r="F16" s="921">
        <v>15.275134761378448</v>
      </c>
      <c r="G16" s="921">
        <v>14.956036086352325</v>
      </c>
      <c r="H16" s="921">
        <v>15.333911517881027</v>
      </c>
      <c r="I16" s="921">
        <v>14.969645149302909</v>
      </c>
      <c r="J16" s="921">
        <v>14.856007634468792</v>
      </c>
      <c r="K16" s="921">
        <v>14.855665643260203</v>
      </c>
      <c r="L16" s="921">
        <v>14.676357863084307</v>
      </c>
      <c r="M16" s="921">
        <v>14.660823111264261</v>
      </c>
      <c r="N16" s="921">
        <v>14.621396694543213</v>
      </c>
      <c r="O16" s="921">
        <v>14.496914877081778</v>
      </c>
      <c r="P16" s="921">
        <v>14.525867813038341</v>
      </c>
      <c r="Q16" s="921">
        <v>14.406443289990676</v>
      </c>
      <c r="R16" s="921">
        <v>14.511791494657368</v>
      </c>
      <c r="S16" s="921">
        <v>14.408484301477108</v>
      </c>
      <c r="T16" s="921">
        <v>14.421367627269808</v>
      </c>
      <c r="U16" s="921">
        <v>14.483474821414545</v>
      </c>
      <c r="V16" s="921">
        <v>14.423047758498246</v>
      </c>
      <c r="W16" s="921">
        <v>14.678410804496627</v>
      </c>
      <c r="X16" s="921">
        <v>14.842794247393387</v>
      </c>
      <c r="Y16" s="921">
        <v>14.985196801851416</v>
      </c>
      <c r="Z16" s="921">
        <v>15.125157698145465</v>
      </c>
      <c r="AA16" s="921">
        <v>15.225733932459173</v>
      </c>
      <c r="AB16" s="922">
        <v>15.312322281050708</v>
      </c>
      <c r="AC16" s="922">
        <v>15.398910629642243</v>
      </c>
      <c r="AD16" s="922">
        <v>15.485498978233778</v>
      </c>
      <c r="AE16" s="922">
        <v>15.572087326825313</v>
      </c>
      <c r="AF16" s="922">
        <v>15.658675675416848</v>
      </c>
      <c r="AG16" s="922">
        <v>15.745264024008383</v>
      </c>
      <c r="AH16" s="922">
        <v>15.831852372599919</v>
      </c>
      <c r="AI16" s="922">
        <v>15.918440721191454</v>
      </c>
      <c r="AJ16" s="922">
        <v>16.005029069782989</v>
      </c>
      <c r="AK16" s="922">
        <v>16.091617418374518</v>
      </c>
      <c r="AL16" s="922">
        <v>16.26193617174043</v>
      </c>
      <c r="AM16" s="922">
        <v>16.432254925106342</v>
      </c>
      <c r="AN16" s="922">
        <v>16.602573678472254</v>
      </c>
      <c r="AO16" s="922">
        <v>16.772892431838166</v>
      </c>
      <c r="AP16" s="922">
        <v>16.943211185204078</v>
      </c>
      <c r="AQ16" s="922">
        <v>17.113529938569989</v>
      </c>
      <c r="AR16" s="922">
        <v>17.283848691935901</v>
      </c>
      <c r="AS16" s="922">
        <v>17.454167445301813</v>
      </c>
      <c r="AT16" s="922">
        <v>17.624486198667725</v>
      </c>
      <c r="AU16" s="922">
        <v>17.794804952033637</v>
      </c>
      <c r="AV16" s="922">
        <v>17.965123705399549</v>
      </c>
      <c r="AW16" s="922">
        <v>18.135442458765461</v>
      </c>
      <c r="AX16" s="922">
        <v>18.305761212131372</v>
      </c>
      <c r="AY16" s="922">
        <v>18.476079965497284</v>
      </c>
      <c r="AZ16" s="921">
        <v>18.646398718863171</v>
      </c>
      <c r="BA16" s="922">
        <v>18.752570913712709</v>
      </c>
      <c r="BB16" s="922">
        <v>18.858743108562248</v>
      </c>
      <c r="BC16" s="922">
        <v>18.964915303411786</v>
      </c>
      <c r="BD16" s="922">
        <v>19.071087498261324</v>
      </c>
      <c r="BE16" s="922">
        <v>19.177259693110862</v>
      </c>
      <c r="BF16" s="922">
        <v>19.283431887960401</v>
      </c>
      <c r="BG16" s="922">
        <v>19.389604082809939</v>
      </c>
      <c r="BH16" s="922">
        <v>19.495776277659477</v>
      </c>
      <c r="BI16" s="922">
        <v>19.601948472509015</v>
      </c>
      <c r="BJ16" s="922">
        <v>19.708120667358553</v>
      </c>
      <c r="BK16" s="922">
        <v>19.814292862208092</v>
      </c>
      <c r="BL16" s="922">
        <v>19.92046505705763</v>
      </c>
      <c r="BM16" s="922">
        <v>20.026637251907168</v>
      </c>
      <c r="BN16" s="922">
        <v>20.132809446756706</v>
      </c>
      <c r="BO16" s="921">
        <v>20.238981641606255</v>
      </c>
      <c r="BP16" s="922">
        <v>20.354221969500514</v>
      </c>
      <c r="BQ16" s="922">
        <v>20.469462297394774</v>
      </c>
      <c r="BR16" s="922">
        <v>20.584702625289033</v>
      </c>
      <c r="BS16" s="922">
        <v>20.699942953183292</v>
      </c>
      <c r="BT16" s="928">
        <v>20.815183281077545</v>
      </c>
    </row>
    <row r="17" spans="1:72" x14ac:dyDescent="0.25">
      <c r="A17" s="925" t="s">
        <v>312</v>
      </c>
      <c r="B17" s="920" t="s">
        <v>747</v>
      </c>
      <c r="C17" s="921">
        <v>15.730049999999999</v>
      </c>
      <c r="D17" s="921">
        <v>15.730049999999999</v>
      </c>
      <c r="E17" s="921">
        <v>15.730049999999999</v>
      </c>
      <c r="F17" s="921">
        <v>15.730049999999999</v>
      </c>
      <c r="G17" s="921">
        <v>15.730049999999999</v>
      </c>
      <c r="H17" s="921">
        <v>15.730049999999999</v>
      </c>
      <c r="I17" s="921">
        <v>15.730049999999999</v>
      </c>
      <c r="J17" s="921">
        <v>15.730049999999999</v>
      </c>
      <c r="K17" s="921">
        <v>15.730049999999999</v>
      </c>
      <c r="L17" s="921">
        <v>15.730049999999999</v>
      </c>
      <c r="M17" s="921">
        <v>15.730049999999999</v>
      </c>
      <c r="N17" s="921">
        <v>15.730049999999999</v>
      </c>
      <c r="O17" s="921">
        <v>15.730049999999999</v>
      </c>
      <c r="P17" s="921">
        <v>15.730049999999999</v>
      </c>
      <c r="Q17" s="921">
        <v>15.730049999999999</v>
      </c>
      <c r="R17" s="921">
        <v>15.730049999999999</v>
      </c>
      <c r="S17" s="921">
        <v>15.730049999999999</v>
      </c>
      <c r="T17" s="921">
        <v>15.730049999999999</v>
      </c>
      <c r="U17" s="921">
        <v>15.730049999999999</v>
      </c>
      <c r="V17" s="921">
        <v>15.730049999999999</v>
      </c>
      <c r="W17" s="921">
        <v>15.730049999999999</v>
      </c>
      <c r="X17" s="921">
        <v>15.730049999999999</v>
      </c>
      <c r="Y17" s="921">
        <v>15.730049999999999</v>
      </c>
      <c r="Z17" s="921">
        <v>15.730049999999999</v>
      </c>
      <c r="AA17" s="921">
        <v>15.730049999999999</v>
      </c>
      <c r="AB17" s="921">
        <v>15.730049999999999</v>
      </c>
      <c r="AC17" s="921">
        <v>15.730049999999999</v>
      </c>
      <c r="AD17" s="921">
        <v>15.730049999999999</v>
      </c>
      <c r="AE17" s="921">
        <v>15.730049999999999</v>
      </c>
      <c r="AF17" s="921">
        <v>15.730049999999999</v>
      </c>
      <c r="AG17" s="921">
        <v>15.730049999999999</v>
      </c>
      <c r="AH17" s="921">
        <v>15.730049999999999</v>
      </c>
      <c r="AI17" s="921">
        <v>15.730049999999999</v>
      </c>
      <c r="AJ17" s="921">
        <v>15.730049999999999</v>
      </c>
      <c r="AK17" s="921">
        <v>15.730049999999999</v>
      </c>
      <c r="AL17" s="921">
        <v>15.730049999999999</v>
      </c>
      <c r="AM17" s="921">
        <v>15.730049999999999</v>
      </c>
      <c r="AN17" s="921">
        <v>15.730049999999999</v>
      </c>
      <c r="AO17" s="921">
        <v>15.730049999999999</v>
      </c>
      <c r="AP17" s="921">
        <v>15.730049999999999</v>
      </c>
      <c r="AQ17" s="921">
        <v>15.730049999999999</v>
      </c>
      <c r="AR17" s="921">
        <v>15.730049999999999</v>
      </c>
      <c r="AS17" s="921">
        <v>15.730049999999999</v>
      </c>
      <c r="AT17" s="921">
        <v>15.730049999999999</v>
      </c>
      <c r="AU17" s="921">
        <v>15.730049999999999</v>
      </c>
      <c r="AV17" s="921">
        <v>15.730049999999999</v>
      </c>
      <c r="AW17" s="921">
        <v>15.730049999999999</v>
      </c>
      <c r="AX17" s="921">
        <v>15.730049999999999</v>
      </c>
      <c r="AY17" s="921">
        <v>15.730049999999999</v>
      </c>
      <c r="AZ17" s="921">
        <v>15.730049999999999</v>
      </c>
      <c r="BA17" s="921">
        <v>15.730049999999999</v>
      </c>
      <c r="BB17" s="921">
        <v>15.730049999999999</v>
      </c>
      <c r="BC17" s="921">
        <v>15.730049999999999</v>
      </c>
      <c r="BD17" s="921">
        <v>15.730049999999999</v>
      </c>
      <c r="BE17" s="921">
        <v>15.730049999999999</v>
      </c>
      <c r="BF17" s="921">
        <v>15.730049999999999</v>
      </c>
      <c r="BG17" s="921">
        <v>15.730049999999999</v>
      </c>
      <c r="BH17" s="921">
        <v>15.730049999999999</v>
      </c>
      <c r="BI17" s="921">
        <v>15.730049999999999</v>
      </c>
      <c r="BJ17" s="921">
        <v>15.730049999999999</v>
      </c>
      <c r="BK17" s="921">
        <v>15.730049999999999</v>
      </c>
      <c r="BL17" s="921">
        <v>15.730049999999999</v>
      </c>
      <c r="BM17" s="921">
        <v>15.730049999999999</v>
      </c>
      <c r="BN17" s="921">
        <v>15.730049999999999</v>
      </c>
      <c r="BO17" s="921">
        <v>15.730049999999999</v>
      </c>
      <c r="BP17" s="921">
        <v>15.730049999999999</v>
      </c>
      <c r="BQ17" s="921">
        <v>15.730049999999999</v>
      </c>
      <c r="BR17" s="921">
        <v>15.730049999999999</v>
      </c>
      <c r="BS17" s="921">
        <v>15.730049999999999</v>
      </c>
      <c r="BT17" s="928">
        <v>15.730049999999999</v>
      </c>
    </row>
    <row r="18" spans="1:72" x14ac:dyDescent="0.25">
      <c r="A18" s="919" t="s">
        <v>311</v>
      </c>
      <c r="B18" s="920" t="s">
        <v>747</v>
      </c>
      <c r="C18" s="921">
        <v>8.7353999999999985</v>
      </c>
      <c r="D18" s="921">
        <v>8.7353999999999985</v>
      </c>
      <c r="E18" s="921">
        <v>8.7353999999999985</v>
      </c>
      <c r="F18" s="921">
        <v>8.7353999999999985</v>
      </c>
      <c r="G18" s="921">
        <v>8.7353999999999985</v>
      </c>
      <c r="H18" s="921">
        <v>8.7353999999999985</v>
      </c>
      <c r="I18" s="921">
        <v>8.7353999999999985</v>
      </c>
      <c r="J18" s="921">
        <v>8.7353999999999985</v>
      </c>
      <c r="K18" s="921">
        <v>8.7353999999999985</v>
      </c>
      <c r="L18" s="921">
        <v>8.7353999999999985</v>
      </c>
      <c r="M18" s="921">
        <v>8.7353999999999985</v>
      </c>
      <c r="N18" s="921">
        <v>8.7353999999999985</v>
      </c>
      <c r="O18" s="921">
        <v>8.7353999999999985</v>
      </c>
      <c r="P18" s="921">
        <v>8.7353999999999985</v>
      </c>
      <c r="Q18" s="921">
        <v>8.7353999999999985</v>
      </c>
      <c r="R18" s="921">
        <v>8.7353999999999985</v>
      </c>
      <c r="S18" s="921">
        <v>8.7353999999999985</v>
      </c>
      <c r="T18" s="921">
        <v>8.7353999999999985</v>
      </c>
      <c r="U18" s="921">
        <v>8.7353999999999985</v>
      </c>
      <c r="V18" s="921">
        <v>8.7353999999999985</v>
      </c>
      <c r="W18" s="921">
        <v>8.7353999999999985</v>
      </c>
      <c r="X18" s="921">
        <v>8.7353999999999985</v>
      </c>
      <c r="Y18" s="921">
        <v>8.7353999999999985</v>
      </c>
      <c r="Z18" s="921">
        <v>8.7353999999999985</v>
      </c>
      <c r="AA18" s="921">
        <v>8.7353999999999985</v>
      </c>
      <c r="AB18" s="921">
        <v>8.7353999999999985</v>
      </c>
      <c r="AC18" s="921">
        <v>8.7353999999999985</v>
      </c>
      <c r="AD18" s="921">
        <v>8.7353999999999985</v>
      </c>
      <c r="AE18" s="921">
        <v>8.7353999999999985</v>
      </c>
      <c r="AF18" s="921">
        <v>8.7353999999999985</v>
      </c>
      <c r="AG18" s="921">
        <v>8.7353999999999985</v>
      </c>
      <c r="AH18" s="921">
        <v>8.7353999999999985</v>
      </c>
      <c r="AI18" s="921">
        <v>8.7353999999999985</v>
      </c>
      <c r="AJ18" s="921">
        <v>8.7353999999999985</v>
      </c>
      <c r="AK18" s="921">
        <v>8.7353999999999985</v>
      </c>
      <c r="AL18" s="921">
        <v>8.7353999999999985</v>
      </c>
      <c r="AM18" s="921">
        <v>8.7353999999999985</v>
      </c>
      <c r="AN18" s="921">
        <v>8.7353999999999985</v>
      </c>
      <c r="AO18" s="921">
        <v>8.7353999999999985</v>
      </c>
      <c r="AP18" s="921">
        <v>8.7353999999999985</v>
      </c>
      <c r="AQ18" s="921">
        <v>8.7353999999999985</v>
      </c>
      <c r="AR18" s="921">
        <v>8.7353999999999985</v>
      </c>
      <c r="AS18" s="921">
        <v>8.7353999999999985</v>
      </c>
      <c r="AT18" s="921">
        <v>8.7353999999999985</v>
      </c>
      <c r="AU18" s="921">
        <v>8.7353999999999985</v>
      </c>
      <c r="AV18" s="921">
        <v>8.7353999999999985</v>
      </c>
      <c r="AW18" s="921">
        <v>8.7353999999999985</v>
      </c>
      <c r="AX18" s="921">
        <v>8.7353999999999985</v>
      </c>
      <c r="AY18" s="921">
        <v>8.7353999999999985</v>
      </c>
      <c r="AZ18" s="921">
        <v>8.7353999999999985</v>
      </c>
      <c r="BA18" s="921">
        <v>8.7353999999999985</v>
      </c>
      <c r="BB18" s="921">
        <v>8.7353999999999985</v>
      </c>
      <c r="BC18" s="921">
        <v>8.7353999999999985</v>
      </c>
      <c r="BD18" s="921">
        <v>8.7353999999999985</v>
      </c>
      <c r="BE18" s="921">
        <v>8.7353999999999985</v>
      </c>
      <c r="BF18" s="921">
        <v>8.7353999999999985</v>
      </c>
      <c r="BG18" s="921">
        <v>8.7353999999999985</v>
      </c>
      <c r="BH18" s="921">
        <v>8.7353999999999985</v>
      </c>
      <c r="BI18" s="921">
        <v>8.7353999999999985</v>
      </c>
      <c r="BJ18" s="921">
        <v>8.7353999999999985</v>
      </c>
      <c r="BK18" s="921">
        <v>8.7353999999999985</v>
      </c>
      <c r="BL18" s="921">
        <v>8.7353999999999985</v>
      </c>
      <c r="BM18" s="921">
        <v>8.7353999999999985</v>
      </c>
      <c r="BN18" s="921">
        <v>8.7353999999999985</v>
      </c>
      <c r="BO18" s="921">
        <v>8.7353999999999985</v>
      </c>
      <c r="BP18" s="921">
        <v>8.7353999999999985</v>
      </c>
      <c r="BQ18" s="921">
        <v>8.7353999999999985</v>
      </c>
      <c r="BR18" s="921">
        <v>8.7353999999999985</v>
      </c>
      <c r="BS18" s="921">
        <v>8.7353999999999985</v>
      </c>
      <c r="BT18" s="928">
        <v>8.7353999999999985</v>
      </c>
    </row>
    <row r="19" spans="1:72" x14ac:dyDescent="0.25">
      <c r="A19" s="1649" t="s">
        <v>755</v>
      </c>
      <c r="B19" s="1650"/>
      <c r="C19" s="1650"/>
      <c r="D19" s="1650"/>
      <c r="E19" s="1650"/>
      <c r="F19" s="1650"/>
      <c r="G19" s="1650"/>
      <c r="H19" s="1650"/>
      <c r="I19" s="1650"/>
      <c r="J19" s="1650"/>
      <c r="K19" s="1650"/>
      <c r="L19" s="1650"/>
      <c r="M19" s="1650"/>
      <c r="N19" s="1650"/>
      <c r="O19" s="1650"/>
      <c r="P19" s="1650"/>
      <c r="Q19" s="1650"/>
      <c r="R19" s="1650"/>
      <c r="S19" s="1650"/>
      <c r="T19" s="1650"/>
      <c r="U19" s="1650"/>
      <c r="V19" s="1650"/>
      <c r="W19" s="1650"/>
      <c r="X19" s="1650"/>
      <c r="Y19" s="1650"/>
      <c r="Z19" s="1650"/>
      <c r="AA19" s="1650"/>
      <c r="AB19" s="1650"/>
      <c r="AC19" s="1650"/>
      <c r="AD19" s="1650"/>
      <c r="AE19" s="1650"/>
      <c r="AF19" s="1650"/>
      <c r="AG19" s="1650"/>
      <c r="AH19" s="1650"/>
      <c r="AI19" s="1650"/>
      <c r="AJ19" s="1650"/>
      <c r="AK19" s="1650"/>
      <c r="AL19" s="1650"/>
      <c r="AM19" s="1650"/>
      <c r="AN19" s="1650"/>
      <c r="AO19" s="1650"/>
      <c r="AP19" s="1650"/>
      <c r="AQ19" s="1650"/>
      <c r="AR19" s="1650"/>
      <c r="AS19" s="1650"/>
      <c r="AT19" s="1650"/>
      <c r="AU19" s="1650"/>
      <c r="AV19" s="1650"/>
      <c r="AW19" s="1650"/>
      <c r="AX19" s="1650"/>
      <c r="AY19" s="1650"/>
      <c r="AZ19" s="1650"/>
      <c r="BA19" s="1650"/>
      <c r="BB19" s="1650"/>
      <c r="BC19" s="1650"/>
      <c r="BD19" s="1650"/>
      <c r="BE19" s="1650"/>
      <c r="BF19" s="1650"/>
      <c r="BG19" s="1650"/>
      <c r="BH19" s="1650"/>
      <c r="BI19" s="1650"/>
      <c r="BJ19" s="1650"/>
      <c r="BK19" s="1650"/>
      <c r="BL19" s="1650"/>
      <c r="BM19" s="1650"/>
      <c r="BN19" s="1650"/>
      <c r="BO19" s="1650"/>
      <c r="BP19" s="1650"/>
      <c r="BQ19" s="1650"/>
      <c r="BR19" s="1650"/>
      <c r="BS19" s="1650"/>
      <c r="BT19" s="1651"/>
    </row>
    <row r="20" spans="1:72" ht="23.5" thickBot="1" x14ac:dyDescent="0.3">
      <c r="A20" s="929" t="s">
        <v>756</v>
      </c>
      <c r="B20" s="930" t="s">
        <v>747</v>
      </c>
      <c r="C20" s="931">
        <v>1.2696286520685174</v>
      </c>
      <c r="D20" s="931">
        <v>1.2696286520685174</v>
      </c>
      <c r="E20" s="931">
        <v>1.2696286520685174</v>
      </c>
      <c r="F20" s="931">
        <v>1.2696286520685174</v>
      </c>
      <c r="G20" s="931">
        <v>1.2696286520685174</v>
      </c>
      <c r="H20" s="931">
        <v>1.2696286520685174</v>
      </c>
      <c r="I20" s="931">
        <v>1.2696286520685174</v>
      </c>
      <c r="J20" s="931">
        <v>1.2696286520685174</v>
      </c>
      <c r="K20" s="931">
        <v>1.2696286520685174</v>
      </c>
      <c r="L20" s="931">
        <v>1.2696286520685174</v>
      </c>
      <c r="M20" s="931">
        <v>1.2716814065585227</v>
      </c>
      <c r="N20" s="931">
        <v>1.2809188017635484</v>
      </c>
      <c r="O20" s="931">
        <v>1.3178683825836508</v>
      </c>
      <c r="P20" s="931">
        <v>1.3209475143186591</v>
      </c>
      <c r="Q20" s="931">
        <v>1.3435278137087219</v>
      </c>
      <c r="R20" s="931">
        <v>1.3466069454437304</v>
      </c>
      <c r="S20" s="931">
        <v>1.3630289813637759</v>
      </c>
      <c r="T20" s="931">
        <v>1.3578970951387617</v>
      </c>
      <c r="U20" s="931">
        <v>1.383556526263833</v>
      </c>
      <c r="V20" s="931">
        <v>1.4030576939188868</v>
      </c>
      <c r="W20" s="931">
        <v>1.460534819639046</v>
      </c>
      <c r="X20" s="931">
        <v>1.4800359872941</v>
      </c>
      <c r="Y20" s="931">
        <v>1.4861942507641173</v>
      </c>
      <c r="Z20" s="931">
        <v>1.5118536818891883</v>
      </c>
      <c r="AA20" s="931">
        <v>1.5262229633192279</v>
      </c>
      <c r="AB20" s="931">
        <v>1.6236006669873051</v>
      </c>
      <c r="AC20" s="931">
        <v>1.7209783706553823</v>
      </c>
      <c r="AD20" s="931">
        <v>1.8183560743234595</v>
      </c>
      <c r="AE20" s="931">
        <v>1.9157337779915367</v>
      </c>
      <c r="AF20" s="931">
        <v>2.0131114816596138</v>
      </c>
      <c r="AG20" s="931">
        <v>2.1104891853276913</v>
      </c>
      <c r="AH20" s="931">
        <v>2.2078668889957687</v>
      </c>
      <c r="AI20" s="931">
        <v>2.3052445926638461</v>
      </c>
      <c r="AJ20" s="931">
        <v>2.4026222963319235</v>
      </c>
      <c r="AK20" s="931">
        <v>2.5</v>
      </c>
      <c r="AL20" s="931">
        <v>2.5714285714285716</v>
      </c>
      <c r="AM20" s="931">
        <v>2.6428571428571432</v>
      </c>
      <c r="AN20" s="931">
        <v>2.7142857142857149</v>
      </c>
      <c r="AO20" s="931">
        <v>2.7857142857142865</v>
      </c>
      <c r="AP20" s="931">
        <v>2.8571428571428581</v>
      </c>
      <c r="AQ20" s="931">
        <v>2.9285714285714297</v>
      </c>
      <c r="AR20" s="931">
        <v>3</v>
      </c>
      <c r="AS20" s="931">
        <v>3.071428571428573</v>
      </c>
      <c r="AT20" s="931">
        <v>3.1428571428571446</v>
      </c>
      <c r="AU20" s="931">
        <v>3.2142857142857162</v>
      </c>
      <c r="AV20" s="931">
        <v>3.2857142857142878</v>
      </c>
      <c r="AW20" s="931">
        <v>3.3571428571428594</v>
      </c>
      <c r="AX20" s="931">
        <v>3.428571428571431</v>
      </c>
      <c r="AY20" s="931">
        <v>3.5</v>
      </c>
      <c r="AZ20" s="931">
        <v>3.5714285714285743</v>
      </c>
      <c r="BA20" s="931">
        <v>3.6428571428571459</v>
      </c>
      <c r="BB20" s="931">
        <v>3.7142857142857175</v>
      </c>
      <c r="BC20" s="931">
        <v>3.7857142857142891</v>
      </c>
      <c r="BD20" s="931">
        <v>3.8571428571428608</v>
      </c>
      <c r="BE20" s="931">
        <v>3.9285714285714324</v>
      </c>
      <c r="BF20" s="931">
        <v>4</v>
      </c>
      <c r="BG20" s="931">
        <v>4.0714285714285747</v>
      </c>
      <c r="BH20" s="931">
        <v>4.1428571428571459</v>
      </c>
      <c r="BI20" s="931">
        <v>4.2142857142857171</v>
      </c>
      <c r="BJ20" s="931">
        <v>4.2857142857142883</v>
      </c>
      <c r="BK20" s="931">
        <v>4.3571428571428594</v>
      </c>
      <c r="BL20" s="931">
        <v>4.4285714285714306</v>
      </c>
      <c r="BM20" s="931">
        <v>4.5</v>
      </c>
      <c r="BN20" s="931">
        <v>4.571428571428573</v>
      </c>
      <c r="BO20" s="931">
        <v>4.6428571428571441</v>
      </c>
      <c r="BP20" s="931">
        <v>4.7142857142857153</v>
      </c>
      <c r="BQ20" s="931">
        <v>4.7857142857142865</v>
      </c>
      <c r="BR20" s="931">
        <v>4.8571428571428577</v>
      </c>
      <c r="BS20" s="931">
        <v>4.9285714285714288</v>
      </c>
      <c r="BT20" s="932">
        <v>5</v>
      </c>
    </row>
    <row r="21" spans="1:72" ht="47.25" customHeight="1" x14ac:dyDescent="0.25">
      <c r="A21" s="1657" t="s">
        <v>437</v>
      </c>
      <c r="B21" s="1658"/>
      <c r="C21" s="1658"/>
      <c r="D21" s="1658"/>
      <c r="E21" s="1658"/>
      <c r="F21" s="1658"/>
      <c r="G21" s="1658"/>
      <c r="H21" s="1658"/>
      <c r="I21" s="1658"/>
      <c r="J21" s="1658"/>
      <c r="K21" s="1658"/>
      <c r="L21" s="1658"/>
      <c r="M21" s="1658"/>
      <c r="N21" s="1658"/>
      <c r="O21" s="1658"/>
      <c r="P21" s="1658"/>
      <c r="Q21" s="1658"/>
      <c r="R21" s="1658"/>
      <c r="S21" s="1658"/>
      <c r="T21" s="1658"/>
      <c r="U21" s="933"/>
      <c r="V21" s="933"/>
      <c r="W21" s="933"/>
      <c r="X21" s="933"/>
      <c r="Y21" s="933"/>
      <c r="Z21" s="933"/>
      <c r="AA21" s="933"/>
      <c r="AB21" s="933"/>
      <c r="AC21" s="933"/>
      <c r="AD21" s="933"/>
      <c r="AE21" s="933"/>
      <c r="AF21" s="933"/>
      <c r="AG21" s="933"/>
      <c r="AH21" s="933"/>
      <c r="AI21" s="933"/>
      <c r="AJ21" s="933"/>
      <c r="AK21" s="933"/>
      <c r="AL21" s="933"/>
      <c r="AM21" s="933"/>
      <c r="AN21" s="933"/>
      <c r="AO21" s="933"/>
      <c r="AP21" s="933"/>
      <c r="AQ21" s="933"/>
      <c r="AR21" s="933"/>
      <c r="AS21" s="933"/>
      <c r="AT21" s="933"/>
      <c r="AU21" s="933"/>
      <c r="AV21" s="933"/>
      <c r="AW21" s="933"/>
      <c r="AX21" s="933"/>
      <c r="AY21" s="933"/>
      <c r="AZ21" s="933"/>
      <c r="BA21" s="933"/>
      <c r="BB21" s="933"/>
      <c r="BC21" s="933"/>
      <c r="BD21" s="933"/>
      <c r="BE21" s="933"/>
      <c r="BF21" s="933"/>
      <c r="BG21" s="933"/>
      <c r="BH21" s="933"/>
      <c r="BI21" s="933"/>
      <c r="BJ21" s="933"/>
      <c r="BK21" s="933"/>
      <c r="BL21" s="933"/>
      <c r="BM21" s="933"/>
      <c r="BN21" s="933"/>
      <c r="BO21" s="933"/>
      <c r="BP21" s="933"/>
      <c r="BQ21" s="933"/>
      <c r="BR21" s="933"/>
      <c r="BS21" s="933"/>
      <c r="BT21" s="933"/>
    </row>
    <row r="22" spans="1:72" x14ac:dyDescent="0.25">
      <c r="A22" s="934"/>
      <c r="B22" s="934"/>
      <c r="C22" s="934"/>
      <c r="D22" s="934"/>
      <c r="E22" s="934"/>
      <c r="F22" s="934"/>
      <c r="G22" s="934"/>
      <c r="H22" s="934"/>
      <c r="I22" s="934"/>
      <c r="J22" s="934"/>
      <c r="K22" s="934"/>
      <c r="L22" s="934"/>
      <c r="M22" s="934"/>
      <c r="N22" s="934"/>
      <c r="O22" s="934"/>
      <c r="P22" s="934"/>
      <c r="Q22" s="934"/>
      <c r="R22" s="934"/>
      <c r="S22" s="934"/>
      <c r="T22" s="934"/>
      <c r="U22" s="935"/>
      <c r="V22" s="935"/>
      <c r="W22" s="935"/>
      <c r="X22" s="935"/>
      <c r="Y22" s="935"/>
      <c r="Z22" s="935"/>
      <c r="AA22" s="935"/>
      <c r="AB22" s="935"/>
      <c r="AC22" s="935"/>
      <c r="AD22" s="935"/>
      <c r="AE22" s="935"/>
      <c r="AF22" s="935"/>
      <c r="AG22" s="935"/>
      <c r="AH22" s="935"/>
      <c r="AI22" s="935"/>
      <c r="AJ22" s="935"/>
      <c r="AK22" s="935"/>
      <c r="AL22" s="935"/>
      <c r="AM22" s="935"/>
      <c r="AN22" s="935"/>
      <c r="AO22" s="935"/>
      <c r="AP22" s="935"/>
      <c r="AQ22" s="935"/>
      <c r="AR22" s="935"/>
      <c r="AS22" s="935"/>
      <c r="AT22" s="935"/>
      <c r="AU22" s="935"/>
      <c r="AV22" s="935"/>
      <c r="AW22" s="935"/>
      <c r="AX22" s="935"/>
      <c r="AY22" s="935"/>
      <c r="AZ22" s="935"/>
      <c r="BA22" s="935"/>
      <c r="BB22" s="935"/>
      <c r="BC22" s="935"/>
      <c r="BD22" s="935"/>
      <c r="BE22" s="935"/>
      <c r="BF22" s="935"/>
      <c r="BG22" s="935"/>
      <c r="BH22" s="935"/>
      <c r="BI22" s="935"/>
      <c r="BJ22" s="935"/>
      <c r="BK22" s="935"/>
      <c r="BL22" s="935"/>
      <c r="BM22" s="935"/>
      <c r="BN22" s="935"/>
      <c r="BO22" s="935"/>
      <c r="BP22" s="935"/>
      <c r="BQ22" s="935"/>
      <c r="BR22" s="935"/>
      <c r="BS22" s="935"/>
      <c r="BT22" s="935"/>
    </row>
    <row r="23" spans="1:72" ht="42.75" customHeight="1" x14ac:dyDescent="0.25">
      <c r="A23" s="1659" t="s">
        <v>757</v>
      </c>
      <c r="B23" s="1659"/>
      <c r="C23" s="1659"/>
      <c r="D23" s="1659"/>
      <c r="E23" s="1659"/>
      <c r="F23" s="1659"/>
      <c r="G23" s="1659"/>
      <c r="H23" s="1659"/>
      <c r="I23" s="1659"/>
      <c r="J23" s="1659"/>
      <c r="K23" s="1659"/>
      <c r="L23" s="1659"/>
      <c r="M23" s="1659"/>
      <c r="N23" s="1659"/>
      <c r="O23" s="1659"/>
      <c r="P23" s="1659"/>
      <c r="Q23" s="1659"/>
      <c r="R23" s="1659"/>
      <c r="S23" s="1659"/>
      <c r="T23" s="1659"/>
      <c r="U23" s="935"/>
      <c r="V23" s="935"/>
      <c r="W23" s="935"/>
      <c r="X23" s="935"/>
      <c r="Y23" s="935"/>
      <c r="Z23" s="935"/>
      <c r="AA23" s="935"/>
      <c r="AB23" s="935"/>
      <c r="AC23" s="935"/>
      <c r="AD23" s="935"/>
      <c r="AE23" s="935"/>
      <c r="AF23" s="935"/>
      <c r="AG23" s="935"/>
      <c r="AH23" s="935"/>
      <c r="AI23" s="935"/>
      <c r="AJ23" s="935"/>
      <c r="AK23" s="935"/>
      <c r="AL23" s="935"/>
      <c r="AM23" s="935"/>
      <c r="AN23" s="935"/>
      <c r="AO23" s="935"/>
      <c r="AP23" s="935"/>
      <c r="AQ23" s="935"/>
      <c r="AR23" s="935"/>
      <c r="AS23" s="935"/>
      <c r="AT23" s="935"/>
      <c r="AU23" s="935"/>
      <c r="AV23" s="935"/>
      <c r="AW23" s="935"/>
      <c r="AX23" s="935"/>
      <c r="AY23" s="935"/>
      <c r="AZ23" s="935"/>
      <c r="BA23" s="935"/>
      <c r="BB23" s="935"/>
      <c r="BC23" s="935"/>
      <c r="BD23" s="935"/>
      <c r="BE23" s="935"/>
      <c r="BF23" s="935"/>
      <c r="BG23" s="935"/>
      <c r="BH23" s="935"/>
      <c r="BI23" s="935"/>
      <c r="BJ23" s="935"/>
      <c r="BK23" s="935"/>
      <c r="BL23" s="935"/>
      <c r="BM23" s="935"/>
      <c r="BN23" s="935"/>
      <c r="BO23" s="935"/>
      <c r="BP23" s="935"/>
      <c r="BQ23" s="935"/>
      <c r="BR23" s="935"/>
      <c r="BS23" s="935"/>
      <c r="BT23" s="935"/>
    </row>
    <row r="24" spans="1:72" x14ac:dyDescent="0.25">
      <c r="A24" s="935"/>
      <c r="B24" s="935"/>
      <c r="C24" s="935"/>
      <c r="D24" s="935"/>
      <c r="E24" s="935"/>
      <c r="F24" s="935"/>
      <c r="G24" s="935"/>
      <c r="H24" s="935"/>
      <c r="I24" s="935"/>
      <c r="J24" s="935"/>
      <c r="K24" s="935"/>
      <c r="L24" s="935"/>
      <c r="M24" s="935"/>
      <c r="N24" s="935"/>
      <c r="O24" s="935"/>
      <c r="P24" s="935"/>
      <c r="Q24" s="935"/>
      <c r="R24" s="935"/>
      <c r="S24" s="935"/>
      <c r="T24" s="935"/>
      <c r="U24" s="935"/>
      <c r="V24" s="935"/>
      <c r="W24" s="935"/>
      <c r="X24" s="935"/>
      <c r="Y24" s="935"/>
      <c r="Z24" s="935"/>
      <c r="AA24" s="935"/>
      <c r="AB24" s="935"/>
      <c r="AC24" s="935"/>
      <c r="AD24" s="935"/>
      <c r="AE24" s="935"/>
      <c r="AF24" s="935"/>
      <c r="AG24" s="935"/>
      <c r="AH24" s="935"/>
      <c r="AI24" s="935"/>
      <c r="AJ24" s="935"/>
      <c r="AK24" s="935"/>
      <c r="AL24" s="935"/>
      <c r="AM24" s="935"/>
      <c r="AN24" s="935"/>
      <c r="AO24" s="935"/>
      <c r="AP24" s="935"/>
      <c r="AQ24" s="935"/>
      <c r="AR24" s="935"/>
      <c r="AS24" s="935"/>
      <c r="AT24" s="935"/>
      <c r="AU24" s="935"/>
      <c r="AV24" s="935"/>
      <c r="AW24" s="935"/>
      <c r="AX24" s="935"/>
      <c r="AY24" s="935"/>
      <c r="AZ24" s="935"/>
      <c r="BA24" s="935"/>
      <c r="BB24" s="935"/>
      <c r="BC24" s="935"/>
      <c r="BD24" s="935"/>
      <c r="BE24" s="935"/>
      <c r="BF24" s="935"/>
      <c r="BG24" s="935"/>
      <c r="BH24" s="935"/>
      <c r="BI24" s="935"/>
      <c r="BJ24" s="935"/>
      <c r="BK24" s="935"/>
      <c r="BL24" s="935"/>
      <c r="BM24" s="935"/>
      <c r="BN24" s="935"/>
      <c r="BO24" s="935"/>
      <c r="BP24" s="935"/>
      <c r="BQ24" s="935"/>
      <c r="BR24" s="935"/>
      <c r="BS24" s="935"/>
      <c r="BT24" s="935"/>
    </row>
    <row r="25" spans="1:72" ht="15.5" x14ac:dyDescent="0.35">
      <c r="A25" s="1660" t="s">
        <v>1114</v>
      </c>
      <c r="B25" s="1660"/>
      <c r="C25" s="1660"/>
      <c r="D25" s="1660"/>
      <c r="E25" s="1660"/>
      <c r="F25" s="1660"/>
      <c r="G25" s="1660"/>
      <c r="H25" s="1660"/>
      <c r="I25" s="1660"/>
      <c r="J25" s="1660"/>
      <c r="K25" s="1660"/>
      <c r="L25" s="935"/>
      <c r="M25" s="935"/>
      <c r="N25" s="935"/>
      <c r="O25" s="935"/>
      <c r="P25" s="935"/>
      <c r="Q25" s="935"/>
      <c r="R25" s="935"/>
      <c r="S25" s="935"/>
      <c r="T25" s="935"/>
      <c r="U25" s="935"/>
      <c r="V25" s="935"/>
      <c r="W25" s="935"/>
      <c r="X25" s="935"/>
      <c r="Y25" s="935"/>
      <c r="Z25" s="935"/>
      <c r="AA25" s="935"/>
      <c r="AB25" s="935"/>
      <c r="AC25" s="935"/>
      <c r="AD25" s="935"/>
      <c r="AE25" s="935"/>
      <c r="AF25" s="935"/>
      <c r="AG25" s="935"/>
      <c r="AH25" s="935"/>
      <c r="AI25" s="935"/>
      <c r="AJ25" s="935"/>
      <c r="AK25" s="935"/>
      <c r="AL25" s="935"/>
      <c r="AM25" s="935"/>
      <c r="AN25" s="935"/>
      <c r="AO25" s="935"/>
      <c r="AP25" s="935"/>
      <c r="AQ25" s="935"/>
      <c r="AR25" s="935"/>
      <c r="AS25" s="935"/>
      <c r="AT25" s="935"/>
      <c r="AU25" s="935"/>
      <c r="AV25" s="935"/>
      <c r="AW25" s="935"/>
      <c r="AX25" s="935"/>
      <c r="AY25" s="935"/>
      <c r="AZ25" s="935"/>
      <c r="BA25" s="935"/>
      <c r="BB25" s="935"/>
      <c r="BC25" s="935"/>
      <c r="BD25" s="935"/>
      <c r="BE25" s="935"/>
      <c r="BF25" s="935"/>
      <c r="BG25" s="935"/>
      <c r="BH25" s="935"/>
      <c r="BI25" s="935"/>
      <c r="BJ25" s="935"/>
      <c r="BK25" s="935"/>
      <c r="BL25" s="935"/>
      <c r="BM25" s="935"/>
      <c r="BN25" s="935"/>
      <c r="BO25" s="935"/>
      <c r="BP25" s="935"/>
      <c r="BQ25" s="935"/>
      <c r="BR25" s="935"/>
      <c r="BS25" s="935"/>
      <c r="BT25" s="935"/>
    </row>
    <row r="26" spans="1:72" ht="13" thickBot="1" x14ac:dyDescent="0.3">
      <c r="A26" s="1661"/>
      <c r="B26" s="1661"/>
      <c r="C26" s="1661"/>
      <c r="D26" s="1661"/>
      <c r="E26" s="1661"/>
      <c r="F26" s="1661"/>
      <c r="G26" s="1661"/>
      <c r="H26" s="1661"/>
      <c r="I26" s="1661"/>
      <c r="J26" s="1661"/>
      <c r="K26" s="1661"/>
      <c r="L26" s="935"/>
      <c r="M26" s="935"/>
      <c r="N26" s="935"/>
      <c r="O26" s="935"/>
      <c r="P26" s="935"/>
      <c r="Q26" s="935"/>
      <c r="R26" s="935"/>
      <c r="S26" s="935"/>
      <c r="T26" s="935"/>
      <c r="U26" s="935"/>
      <c r="V26" s="935"/>
      <c r="W26" s="935"/>
      <c r="X26" s="935"/>
      <c r="Y26" s="935"/>
      <c r="Z26" s="935"/>
      <c r="AA26" s="935"/>
      <c r="AB26" s="935"/>
      <c r="AC26" s="935"/>
      <c r="AD26" s="935"/>
      <c r="AE26" s="935"/>
      <c r="AF26" s="935"/>
      <c r="AG26" s="935"/>
      <c r="AH26" s="935"/>
      <c r="AI26" s="935"/>
      <c r="AJ26" s="935"/>
      <c r="AK26" s="935"/>
      <c r="AL26" s="935"/>
      <c r="AM26" s="935"/>
      <c r="AN26" s="935"/>
      <c r="AO26" s="935"/>
      <c r="AP26" s="935"/>
      <c r="AQ26" s="935"/>
      <c r="AR26" s="935"/>
      <c r="AS26" s="935"/>
      <c r="AT26" s="935"/>
      <c r="AU26" s="935"/>
      <c r="AV26" s="935"/>
      <c r="AW26" s="935"/>
      <c r="AX26" s="935"/>
      <c r="AY26" s="935"/>
      <c r="AZ26" s="935"/>
      <c r="BA26" s="935"/>
      <c r="BB26" s="935"/>
      <c r="BC26" s="935"/>
      <c r="BD26" s="935"/>
      <c r="BE26" s="935"/>
      <c r="BF26" s="935"/>
      <c r="BG26" s="935"/>
      <c r="BH26" s="935"/>
      <c r="BI26" s="935"/>
      <c r="BJ26" s="935"/>
      <c r="BK26" s="935"/>
      <c r="BL26" s="935"/>
      <c r="BM26" s="935"/>
      <c r="BN26" s="935"/>
      <c r="BO26" s="935"/>
      <c r="BP26" s="935"/>
      <c r="BQ26" s="935"/>
      <c r="BR26" s="935"/>
      <c r="BS26" s="935"/>
      <c r="BT26" s="935"/>
    </row>
    <row r="27" spans="1:72" ht="39" x14ac:dyDescent="0.25">
      <c r="A27" s="936"/>
      <c r="B27" s="937" t="s">
        <v>758</v>
      </c>
      <c r="C27" s="937" t="s">
        <v>759</v>
      </c>
      <c r="D27" s="937" t="s">
        <v>1116</v>
      </c>
      <c r="E27" s="1662"/>
      <c r="F27" s="1662"/>
      <c r="G27" s="1662"/>
      <c r="H27" s="1662"/>
      <c r="I27" s="1662"/>
      <c r="J27" s="1664" t="s">
        <v>760</v>
      </c>
      <c r="K27" s="1665"/>
      <c r="L27" s="935"/>
      <c r="M27" s="935"/>
      <c r="N27" s="935"/>
      <c r="O27" s="935"/>
      <c r="P27" s="935"/>
      <c r="Q27" s="935"/>
      <c r="R27" s="935"/>
      <c r="S27" s="935"/>
      <c r="T27" s="935"/>
      <c r="U27" s="935"/>
      <c r="V27" s="935"/>
      <c r="W27" s="935"/>
      <c r="X27" s="935"/>
      <c r="Y27" s="935"/>
      <c r="Z27" s="935"/>
      <c r="AA27" s="935"/>
      <c r="AB27" s="935"/>
      <c r="AC27" s="935"/>
      <c r="AD27" s="935"/>
      <c r="AE27" s="935"/>
      <c r="AF27" s="935"/>
      <c r="AG27" s="935"/>
      <c r="AH27" s="935"/>
      <c r="AI27" s="935"/>
      <c r="AJ27" s="935"/>
      <c r="AK27" s="935"/>
      <c r="AL27" s="935"/>
      <c r="AM27" s="935"/>
      <c r="AN27" s="935"/>
      <c r="AO27" s="935"/>
      <c r="AP27" s="935"/>
      <c r="AQ27" s="935"/>
      <c r="AR27" s="935"/>
      <c r="AS27" s="935"/>
      <c r="AT27" s="935"/>
      <c r="AU27" s="935"/>
      <c r="AV27" s="935"/>
      <c r="AW27" s="935"/>
      <c r="AX27" s="935"/>
      <c r="AY27" s="935"/>
      <c r="AZ27" s="935"/>
      <c r="BA27" s="935"/>
      <c r="BB27" s="935"/>
      <c r="BC27" s="935"/>
      <c r="BD27" s="935"/>
      <c r="BE27" s="935"/>
      <c r="BF27" s="935"/>
      <c r="BG27" s="935"/>
      <c r="BH27" s="935"/>
      <c r="BI27" s="935"/>
      <c r="BJ27" s="935"/>
      <c r="BK27" s="935"/>
      <c r="BL27" s="935"/>
      <c r="BM27" s="935"/>
      <c r="BN27" s="935"/>
      <c r="BO27" s="935"/>
      <c r="BP27" s="935"/>
      <c r="BQ27" s="935"/>
      <c r="BR27" s="935"/>
      <c r="BS27" s="935"/>
      <c r="BT27" s="935"/>
    </row>
    <row r="28" spans="1:72" x14ac:dyDescent="0.25">
      <c r="A28" s="938" t="s">
        <v>569</v>
      </c>
      <c r="B28" s="939">
        <f>G40/F40</f>
        <v>1.0482288241385485</v>
      </c>
      <c r="C28" s="939">
        <f>H40/G40</f>
        <v>1.0526415477404851</v>
      </c>
      <c r="D28" s="939">
        <f>I40/H40</f>
        <v>1.0160295046377366</v>
      </c>
      <c r="E28" s="1663"/>
      <c r="F28" s="1663"/>
      <c r="G28" s="1663"/>
      <c r="H28" s="1663"/>
      <c r="I28" s="1663"/>
      <c r="J28" s="1663" t="s">
        <v>1084</v>
      </c>
      <c r="K28" s="1666" t="s">
        <v>1092</v>
      </c>
      <c r="L28" s="935"/>
      <c r="M28" s="935"/>
      <c r="N28" s="935"/>
      <c r="O28" s="935"/>
      <c r="P28" s="935"/>
      <c r="Q28" s="935"/>
      <c r="R28" s="935"/>
      <c r="S28" s="935"/>
      <c r="T28" s="935"/>
      <c r="U28" s="935"/>
      <c r="V28" s="935"/>
      <c r="W28" s="935"/>
      <c r="X28" s="935"/>
      <c r="Y28" s="935"/>
      <c r="Z28" s="935"/>
      <c r="AA28" s="935"/>
      <c r="AB28" s="935"/>
      <c r="AC28" s="935"/>
      <c r="AD28" s="935"/>
      <c r="AE28" s="935"/>
      <c r="AF28" s="935"/>
      <c r="AG28" s="935"/>
      <c r="AH28" s="935"/>
      <c r="AI28" s="935"/>
      <c r="AJ28" s="935"/>
      <c r="AK28" s="935"/>
      <c r="AL28" s="935"/>
      <c r="AM28" s="935"/>
      <c r="AN28" s="935"/>
      <c r="AO28" s="935"/>
      <c r="AP28" s="935"/>
      <c r="AQ28" s="935"/>
      <c r="AR28" s="935"/>
      <c r="AS28" s="935"/>
      <c r="AT28" s="935"/>
      <c r="AU28" s="935"/>
      <c r="AV28" s="935"/>
      <c r="AW28" s="935"/>
      <c r="AX28" s="935"/>
      <c r="AY28" s="935"/>
      <c r="AZ28" s="935"/>
      <c r="BA28" s="935"/>
      <c r="BB28" s="935"/>
      <c r="BC28" s="935"/>
      <c r="BD28" s="935"/>
      <c r="BE28" s="935"/>
      <c r="BF28" s="935"/>
      <c r="BG28" s="935"/>
      <c r="BH28" s="935"/>
      <c r="BI28" s="935"/>
      <c r="BJ28" s="935"/>
      <c r="BK28" s="935"/>
      <c r="BL28" s="935"/>
      <c r="BM28" s="935"/>
      <c r="BN28" s="935"/>
      <c r="BO28" s="935"/>
      <c r="BP28" s="935"/>
      <c r="BQ28" s="935"/>
      <c r="BR28" s="935"/>
      <c r="BS28" s="935"/>
      <c r="BT28" s="935"/>
    </row>
    <row r="29" spans="1:72" x14ac:dyDescent="0.25">
      <c r="A29" s="940" t="s">
        <v>570</v>
      </c>
      <c r="B29" s="941">
        <f t="shared" ref="B29:B35" si="0">G41/F41</f>
        <v>1.1441282284851997</v>
      </c>
      <c r="C29" s="941">
        <f t="shared" ref="C29:C35" si="1">H41/G41</f>
        <v>1.1360328119345371</v>
      </c>
      <c r="D29" s="941">
        <f t="shared" ref="D29:D35" si="2">I41/H41</f>
        <v>1.0363018547359477</v>
      </c>
      <c r="E29" s="1663"/>
      <c r="F29" s="1663"/>
      <c r="G29" s="1663"/>
      <c r="H29" s="1663"/>
      <c r="I29" s="1663"/>
      <c r="J29" s="1663"/>
      <c r="K29" s="1666"/>
      <c r="L29" s="935"/>
      <c r="M29" s="935"/>
      <c r="N29" s="935"/>
      <c r="O29" s="935"/>
      <c r="P29" s="935"/>
      <c r="Q29" s="935"/>
      <c r="R29" s="935"/>
      <c r="S29" s="935"/>
      <c r="T29" s="935"/>
      <c r="U29" s="935"/>
      <c r="V29" s="935"/>
      <c r="W29" s="935"/>
      <c r="X29" s="935"/>
      <c r="Y29" s="935"/>
      <c r="Z29" s="935"/>
      <c r="AA29" s="935"/>
      <c r="AB29" s="935"/>
      <c r="AC29" s="935"/>
      <c r="AD29" s="935"/>
      <c r="AE29" s="935"/>
      <c r="AF29" s="935"/>
      <c r="AG29" s="935"/>
      <c r="AH29" s="935"/>
      <c r="AI29" s="935"/>
      <c r="AJ29" s="935"/>
      <c r="AK29" s="935"/>
      <c r="AL29" s="935"/>
      <c r="AM29" s="935"/>
      <c r="AN29" s="935"/>
      <c r="AO29" s="935"/>
      <c r="AP29" s="935"/>
      <c r="AQ29" s="935"/>
      <c r="AR29" s="935"/>
      <c r="AS29" s="935"/>
      <c r="AT29" s="935"/>
      <c r="AU29" s="935"/>
      <c r="AV29" s="935"/>
      <c r="AW29" s="935"/>
      <c r="AX29" s="935"/>
      <c r="AY29" s="935"/>
      <c r="AZ29" s="935"/>
      <c r="BA29" s="935"/>
      <c r="BB29" s="935"/>
      <c r="BC29" s="935"/>
      <c r="BD29" s="935"/>
      <c r="BE29" s="935"/>
      <c r="BF29" s="935"/>
      <c r="BG29" s="935"/>
      <c r="BH29" s="935"/>
      <c r="BI29" s="935"/>
      <c r="BJ29" s="935"/>
      <c r="BK29" s="935"/>
      <c r="BL29" s="935"/>
      <c r="BM29" s="935"/>
      <c r="BN29" s="935"/>
      <c r="BO29" s="935"/>
      <c r="BP29" s="935"/>
      <c r="BQ29" s="935"/>
      <c r="BR29" s="935"/>
      <c r="BS29" s="935"/>
      <c r="BT29" s="935"/>
    </row>
    <row r="30" spans="1:72" x14ac:dyDescent="0.25">
      <c r="A30" s="938" t="s">
        <v>571</v>
      </c>
      <c r="B30" s="939">
        <f t="shared" si="0"/>
        <v>1.1252277801242987</v>
      </c>
      <c r="C30" s="939">
        <f t="shared" si="1"/>
        <v>1.1222249629995065</v>
      </c>
      <c r="D30" s="939">
        <f t="shared" si="2"/>
        <v>1.0285793469898747</v>
      </c>
      <c r="E30" s="1663"/>
      <c r="F30" s="1663"/>
      <c r="G30" s="1663"/>
      <c r="H30" s="1663"/>
      <c r="I30" s="1663"/>
      <c r="J30" s="942">
        <v>1991</v>
      </c>
      <c r="K30" s="943">
        <v>84.5</v>
      </c>
      <c r="L30" s="935"/>
      <c r="M30" s="935"/>
      <c r="N30" s="935"/>
      <c r="O30" s="935"/>
      <c r="P30" s="935"/>
      <c r="Q30" s="935"/>
      <c r="R30" s="935"/>
      <c r="S30" s="935"/>
      <c r="T30" s="935"/>
      <c r="U30" s="935"/>
      <c r="V30" s="935"/>
      <c r="W30" s="935"/>
      <c r="X30" s="935"/>
      <c r="Y30" s="935"/>
      <c r="Z30" s="935"/>
      <c r="AA30" s="935"/>
      <c r="AB30" s="935"/>
      <c r="AC30" s="935"/>
      <c r="AD30" s="935"/>
      <c r="AE30" s="935"/>
      <c r="AF30" s="935"/>
      <c r="AG30" s="935"/>
      <c r="AH30" s="935"/>
      <c r="AI30" s="935"/>
      <c r="AJ30" s="935"/>
      <c r="AK30" s="935"/>
      <c r="AL30" s="935"/>
      <c r="AM30" s="935"/>
      <c r="AN30" s="935"/>
      <c r="AO30" s="935"/>
      <c r="AP30" s="935"/>
      <c r="AQ30" s="935"/>
      <c r="AR30" s="935"/>
      <c r="AS30" s="935"/>
      <c r="AT30" s="935"/>
      <c r="AU30" s="935"/>
      <c r="AV30" s="935"/>
      <c r="AW30" s="935"/>
      <c r="AX30" s="935"/>
      <c r="AY30" s="935"/>
      <c r="AZ30" s="935"/>
      <c r="BA30" s="935"/>
      <c r="BB30" s="935"/>
      <c r="BC30" s="935"/>
      <c r="BD30" s="935"/>
      <c r="BE30" s="935"/>
      <c r="BF30" s="935"/>
      <c r="BG30" s="935"/>
      <c r="BH30" s="935"/>
      <c r="BI30" s="935"/>
      <c r="BJ30" s="935"/>
      <c r="BK30" s="935"/>
      <c r="BL30" s="935"/>
      <c r="BM30" s="935"/>
      <c r="BN30" s="935"/>
      <c r="BO30" s="935"/>
      <c r="BP30" s="935"/>
      <c r="BQ30" s="935"/>
      <c r="BR30" s="935"/>
      <c r="BS30" s="935"/>
      <c r="BT30" s="935"/>
    </row>
    <row r="31" spans="1:72" x14ac:dyDescent="0.25">
      <c r="A31" s="940" t="s">
        <v>572</v>
      </c>
      <c r="B31" s="941">
        <f t="shared" si="0"/>
        <v>1.0687839040840581</v>
      </c>
      <c r="C31" s="941">
        <f t="shared" si="1"/>
        <v>1.0213566498986533</v>
      </c>
      <c r="D31" s="941">
        <f t="shared" si="2"/>
        <v>1.0031375164207406</v>
      </c>
      <c r="E31" s="1663"/>
      <c r="F31" s="1663"/>
      <c r="G31" s="1663"/>
      <c r="H31" s="1663"/>
      <c r="I31" s="1663"/>
      <c r="J31" s="944">
        <v>1992</v>
      </c>
      <c r="K31" s="945">
        <v>86.4</v>
      </c>
      <c r="L31" s="935"/>
      <c r="M31" s="935"/>
      <c r="N31" s="935"/>
      <c r="O31" s="935"/>
      <c r="P31" s="935"/>
      <c r="Q31" s="935"/>
      <c r="R31" s="935"/>
      <c r="S31" s="935"/>
      <c r="T31" s="935"/>
      <c r="U31" s="935"/>
      <c r="V31" s="935"/>
      <c r="W31" s="935"/>
      <c r="X31" s="935"/>
      <c r="Y31" s="935"/>
      <c r="Z31" s="935"/>
      <c r="AA31" s="935"/>
      <c r="AB31" s="935"/>
      <c r="AC31" s="935"/>
      <c r="AD31" s="935"/>
      <c r="AE31" s="935"/>
      <c r="AF31" s="935"/>
      <c r="AG31" s="935"/>
      <c r="AH31" s="935"/>
      <c r="AI31" s="935"/>
      <c r="AJ31" s="935"/>
      <c r="AK31" s="935"/>
      <c r="AL31" s="935"/>
      <c r="AM31" s="935"/>
      <c r="AN31" s="935"/>
      <c r="AO31" s="935"/>
      <c r="AP31" s="935"/>
      <c r="AQ31" s="935"/>
      <c r="AR31" s="935"/>
      <c r="AS31" s="935"/>
      <c r="AT31" s="935"/>
      <c r="AU31" s="935"/>
      <c r="AV31" s="935"/>
      <c r="AW31" s="935"/>
      <c r="AX31" s="935"/>
      <c r="AY31" s="935"/>
      <c r="AZ31" s="935"/>
      <c r="BA31" s="935"/>
      <c r="BB31" s="935"/>
      <c r="BC31" s="935"/>
      <c r="BD31" s="935"/>
      <c r="BE31" s="935"/>
      <c r="BF31" s="935"/>
      <c r="BG31" s="935"/>
      <c r="BH31" s="935"/>
      <c r="BI31" s="935"/>
      <c r="BJ31" s="935"/>
      <c r="BK31" s="935"/>
      <c r="BL31" s="935"/>
      <c r="BM31" s="935"/>
      <c r="BN31" s="935"/>
      <c r="BO31" s="935"/>
      <c r="BP31" s="935"/>
      <c r="BQ31" s="935"/>
      <c r="BR31" s="935"/>
      <c r="BS31" s="935"/>
      <c r="BT31" s="935"/>
    </row>
    <row r="32" spans="1:72" x14ac:dyDescent="0.25">
      <c r="A32" s="938" t="s">
        <v>573</v>
      </c>
      <c r="B32" s="939">
        <f t="shared" si="0"/>
        <v>1.03736526166104</v>
      </c>
      <c r="C32" s="939">
        <f t="shared" si="1"/>
        <v>1.0084486821562659</v>
      </c>
      <c r="D32" s="939">
        <f t="shared" si="2"/>
        <v>1.0010687685088917</v>
      </c>
      <c r="E32" s="1663"/>
      <c r="F32" s="1663"/>
      <c r="G32" s="1663"/>
      <c r="H32" s="1663"/>
      <c r="I32" s="1663"/>
      <c r="J32" s="942">
        <v>1993</v>
      </c>
      <c r="K32" s="943">
        <v>88.4</v>
      </c>
      <c r="L32" s="935"/>
      <c r="M32" s="935"/>
      <c r="N32" s="935"/>
      <c r="O32" s="935"/>
      <c r="P32" s="935"/>
      <c r="Q32" s="935"/>
      <c r="R32" s="935"/>
      <c r="S32" s="935"/>
      <c r="T32" s="935"/>
      <c r="U32" s="935"/>
      <c r="V32" s="935"/>
      <c r="W32" s="935"/>
      <c r="X32" s="935"/>
      <c r="Y32" s="935"/>
      <c r="Z32" s="935"/>
      <c r="AA32" s="935"/>
      <c r="AB32" s="935"/>
      <c r="AC32" s="935"/>
      <c r="AD32" s="935"/>
      <c r="AE32" s="935"/>
      <c r="AF32" s="935"/>
      <c r="AG32" s="935"/>
      <c r="AH32" s="935"/>
      <c r="AI32" s="935"/>
      <c r="AJ32" s="935"/>
      <c r="AK32" s="935"/>
      <c r="AL32" s="935"/>
      <c r="AM32" s="935"/>
      <c r="AN32" s="935"/>
      <c r="AO32" s="935"/>
      <c r="AP32" s="935"/>
      <c r="AQ32" s="935"/>
      <c r="AR32" s="935"/>
      <c r="AS32" s="935"/>
      <c r="AT32" s="935"/>
      <c r="AU32" s="935"/>
      <c r="AV32" s="935"/>
      <c r="AW32" s="935"/>
      <c r="AX32" s="935"/>
      <c r="AY32" s="935"/>
      <c r="AZ32" s="935"/>
      <c r="BA32" s="935"/>
      <c r="BB32" s="935"/>
      <c r="BC32" s="935"/>
      <c r="BD32" s="935"/>
      <c r="BE32" s="935"/>
      <c r="BF32" s="935"/>
      <c r="BG32" s="935"/>
      <c r="BH32" s="935"/>
      <c r="BI32" s="935"/>
      <c r="BJ32" s="935"/>
      <c r="BK32" s="935"/>
      <c r="BL32" s="935"/>
      <c r="BM32" s="935"/>
      <c r="BN32" s="935"/>
      <c r="BO32" s="935"/>
      <c r="BP32" s="935"/>
      <c r="BQ32" s="935"/>
      <c r="BR32" s="935"/>
      <c r="BS32" s="935"/>
      <c r="BT32" s="935"/>
    </row>
    <row r="33" spans="1:72" x14ac:dyDescent="0.25">
      <c r="A33" s="940" t="s">
        <v>574</v>
      </c>
      <c r="B33" s="941">
        <f t="shared" si="0"/>
        <v>0.975071533164794</v>
      </c>
      <c r="C33" s="941">
        <f t="shared" si="1"/>
        <v>1.0087393571750138</v>
      </c>
      <c r="D33" s="941">
        <f t="shared" si="2"/>
        <v>0.99663324890666094</v>
      </c>
      <c r="E33" s="1663"/>
      <c r="F33" s="1663"/>
      <c r="G33" s="1663"/>
      <c r="H33" s="1663"/>
      <c r="I33" s="1663"/>
      <c r="J33" s="944">
        <v>1994</v>
      </c>
      <c r="K33" s="945">
        <v>90.3</v>
      </c>
      <c r="L33" s="935"/>
      <c r="M33" s="935"/>
      <c r="N33" s="935"/>
      <c r="O33" s="935"/>
      <c r="P33" s="935"/>
      <c r="Q33" s="935"/>
      <c r="R33" s="935"/>
      <c r="S33" s="935"/>
      <c r="T33" s="935"/>
      <c r="U33" s="935"/>
      <c r="V33" s="935"/>
      <c r="W33" s="935"/>
      <c r="X33" s="935"/>
      <c r="Y33" s="935"/>
      <c r="Z33" s="935"/>
      <c r="AA33" s="935"/>
      <c r="AB33" s="935"/>
      <c r="AC33" s="935"/>
      <c r="AD33" s="935"/>
      <c r="AE33" s="935"/>
      <c r="AF33" s="935"/>
      <c r="AG33" s="935"/>
      <c r="AH33" s="935"/>
      <c r="AI33" s="935"/>
      <c r="AJ33" s="935"/>
      <c r="AK33" s="935"/>
      <c r="AL33" s="935"/>
      <c r="AM33" s="935"/>
      <c r="AN33" s="935"/>
      <c r="AO33" s="935"/>
      <c r="AP33" s="935"/>
      <c r="AQ33" s="935"/>
      <c r="AR33" s="935"/>
      <c r="AS33" s="935"/>
      <c r="AT33" s="935"/>
      <c r="AU33" s="935"/>
      <c r="AV33" s="935"/>
      <c r="AW33" s="935"/>
      <c r="AX33" s="935"/>
      <c r="AY33" s="935"/>
      <c r="AZ33" s="935"/>
      <c r="BA33" s="935"/>
      <c r="BB33" s="935"/>
      <c r="BC33" s="935"/>
      <c r="BD33" s="935"/>
      <c r="BE33" s="935"/>
      <c r="BF33" s="935"/>
      <c r="BG33" s="935"/>
      <c r="BH33" s="935"/>
      <c r="BI33" s="935"/>
      <c r="BJ33" s="935"/>
      <c r="BK33" s="935"/>
      <c r="BL33" s="935"/>
      <c r="BM33" s="935"/>
      <c r="BN33" s="935"/>
      <c r="BO33" s="935"/>
      <c r="BP33" s="935"/>
      <c r="BQ33" s="935"/>
      <c r="BR33" s="935"/>
      <c r="BS33" s="935"/>
      <c r="BT33" s="935"/>
    </row>
    <row r="34" spans="1:72" x14ac:dyDescent="0.25">
      <c r="A34" s="938" t="s">
        <v>575</v>
      </c>
      <c r="B34" s="939">
        <f t="shared" si="0"/>
        <v>1.0938371922267365</v>
      </c>
      <c r="C34" s="939">
        <f t="shared" si="1"/>
        <v>1.0852680569229392</v>
      </c>
      <c r="D34" s="939">
        <f t="shared" si="2"/>
        <v>1.0142672175626977</v>
      </c>
      <c r="E34" s="1663"/>
      <c r="F34" s="1663"/>
      <c r="G34" s="1663"/>
      <c r="H34" s="1663"/>
      <c r="I34" s="1663"/>
      <c r="J34" s="942">
        <v>1995</v>
      </c>
      <c r="K34" s="943">
        <v>92.1</v>
      </c>
      <c r="L34" s="935"/>
      <c r="M34" s="935"/>
      <c r="N34" s="935"/>
      <c r="O34" s="935"/>
      <c r="P34" s="935"/>
      <c r="Q34" s="935"/>
      <c r="R34" s="935"/>
      <c r="S34" s="935"/>
      <c r="T34" s="935"/>
      <c r="U34" s="935"/>
      <c r="V34" s="935"/>
      <c r="W34" s="935"/>
      <c r="X34" s="935"/>
      <c r="Y34" s="935"/>
      <c r="Z34" s="935"/>
      <c r="AA34" s="935"/>
      <c r="AB34" s="935"/>
      <c r="AC34" s="935"/>
      <c r="AD34" s="935"/>
      <c r="AE34" s="935"/>
      <c r="AF34" s="935"/>
      <c r="AG34" s="935"/>
      <c r="AH34" s="935"/>
      <c r="AI34" s="935"/>
      <c r="AJ34" s="935"/>
      <c r="AK34" s="935"/>
      <c r="AL34" s="935"/>
      <c r="AM34" s="935"/>
      <c r="AN34" s="935"/>
      <c r="AO34" s="935"/>
      <c r="AP34" s="935"/>
      <c r="AQ34" s="935"/>
      <c r="AR34" s="935"/>
      <c r="AS34" s="935"/>
      <c r="AT34" s="935"/>
      <c r="AU34" s="935"/>
      <c r="AV34" s="935"/>
      <c r="AW34" s="935"/>
      <c r="AX34" s="935"/>
      <c r="AY34" s="935"/>
      <c r="AZ34" s="935"/>
      <c r="BA34" s="935"/>
      <c r="BB34" s="935"/>
      <c r="BC34" s="935"/>
      <c r="BD34" s="935"/>
      <c r="BE34" s="935"/>
      <c r="BF34" s="935"/>
      <c r="BG34" s="935"/>
      <c r="BH34" s="935"/>
      <c r="BI34" s="935"/>
      <c r="BJ34" s="935"/>
      <c r="BK34" s="935"/>
      <c r="BL34" s="935"/>
      <c r="BM34" s="935"/>
      <c r="BN34" s="935"/>
      <c r="BO34" s="935"/>
      <c r="BP34" s="935"/>
      <c r="BQ34" s="935"/>
      <c r="BR34" s="935"/>
      <c r="BS34" s="935"/>
      <c r="BT34" s="935"/>
    </row>
    <row r="35" spans="1:72" x14ac:dyDescent="0.25">
      <c r="A35" s="940" t="s">
        <v>312</v>
      </c>
      <c r="B35" s="941">
        <f t="shared" si="0"/>
        <v>1.0046194107582356</v>
      </c>
      <c r="C35" s="941">
        <f t="shared" si="1"/>
        <v>1.003094645903579</v>
      </c>
      <c r="D35" s="941">
        <f t="shared" si="2"/>
        <v>0.99710816742279029</v>
      </c>
      <c r="E35" s="1663"/>
      <c r="F35" s="1663"/>
      <c r="G35" s="1663"/>
      <c r="H35" s="1663"/>
      <c r="I35" s="1663"/>
      <c r="J35" s="944">
        <v>1996</v>
      </c>
      <c r="K35" s="945">
        <v>93.9</v>
      </c>
      <c r="L35" s="935"/>
      <c r="M35" s="935"/>
      <c r="N35" s="935"/>
      <c r="O35" s="935"/>
      <c r="P35" s="935"/>
      <c r="Q35" s="935"/>
      <c r="R35" s="935"/>
      <c r="S35" s="935"/>
      <c r="T35" s="935"/>
      <c r="U35" s="935"/>
      <c r="V35" s="935"/>
      <c r="W35" s="935"/>
      <c r="X35" s="935"/>
      <c r="Y35" s="935"/>
      <c r="Z35" s="935"/>
      <c r="AA35" s="935"/>
      <c r="AB35" s="935"/>
      <c r="AC35" s="935"/>
      <c r="AD35" s="935"/>
      <c r="AE35" s="935"/>
      <c r="AF35" s="935"/>
      <c r="AG35" s="935"/>
      <c r="AH35" s="935"/>
      <c r="AI35" s="935"/>
      <c r="AJ35" s="935"/>
      <c r="AK35" s="935"/>
      <c r="AL35" s="935"/>
      <c r="AM35" s="935"/>
      <c r="AN35" s="935"/>
      <c r="AO35" s="935"/>
      <c r="AP35" s="935"/>
      <c r="AQ35" s="935"/>
      <c r="AR35" s="935"/>
      <c r="AS35" s="935"/>
      <c r="AT35" s="935"/>
      <c r="AU35" s="935"/>
      <c r="AV35" s="935"/>
      <c r="AW35" s="935"/>
      <c r="AX35" s="935"/>
      <c r="AY35" s="935"/>
      <c r="AZ35" s="935"/>
      <c r="BA35" s="935"/>
      <c r="BB35" s="935"/>
      <c r="BC35" s="935"/>
      <c r="BD35" s="935"/>
      <c r="BE35" s="935"/>
      <c r="BF35" s="935"/>
      <c r="BG35" s="935"/>
      <c r="BH35" s="935"/>
      <c r="BI35" s="935"/>
      <c r="BJ35" s="935"/>
      <c r="BK35" s="935"/>
      <c r="BL35" s="935"/>
      <c r="BM35" s="935"/>
      <c r="BN35" s="935"/>
      <c r="BO35" s="935"/>
      <c r="BP35" s="935"/>
      <c r="BQ35" s="935"/>
      <c r="BR35" s="935"/>
      <c r="BS35" s="935"/>
      <c r="BT35" s="935"/>
    </row>
    <row r="36" spans="1:72" x14ac:dyDescent="0.25">
      <c r="A36" s="1667"/>
      <c r="B36" s="1668"/>
      <c r="C36" s="1668"/>
      <c r="D36" s="1668"/>
      <c r="E36" s="1663"/>
      <c r="F36" s="1663"/>
      <c r="G36" s="1663"/>
      <c r="H36" s="1663"/>
      <c r="I36" s="1663"/>
      <c r="J36" s="942">
        <v>1997</v>
      </c>
      <c r="K36" s="943">
        <v>95.4</v>
      </c>
      <c r="L36" s="935"/>
      <c r="M36" s="935"/>
      <c r="N36" s="935"/>
      <c r="O36" s="935"/>
      <c r="P36" s="935"/>
      <c r="Q36" s="935"/>
      <c r="R36" s="935"/>
      <c r="S36" s="935"/>
      <c r="T36" s="935"/>
      <c r="U36" s="935"/>
      <c r="V36" s="935"/>
      <c r="W36" s="935"/>
      <c r="X36" s="935"/>
      <c r="Y36" s="935"/>
      <c r="Z36" s="935"/>
      <c r="AA36" s="935"/>
      <c r="AB36" s="935"/>
      <c r="AC36" s="935"/>
      <c r="AD36" s="935"/>
      <c r="AE36" s="935"/>
      <c r="AF36" s="935"/>
      <c r="AG36" s="935"/>
      <c r="AH36" s="935"/>
      <c r="AI36" s="935"/>
      <c r="AJ36" s="935"/>
      <c r="AK36" s="935"/>
      <c r="AL36" s="935"/>
      <c r="AM36" s="935"/>
      <c r="AN36" s="935"/>
      <c r="AO36" s="935"/>
      <c r="AP36" s="935"/>
      <c r="AQ36" s="935"/>
      <c r="AR36" s="935"/>
      <c r="AS36" s="935"/>
      <c r="AT36" s="935"/>
      <c r="AU36" s="935"/>
      <c r="AV36" s="935"/>
      <c r="AW36" s="935"/>
      <c r="AX36" s="935"/>
      <c r="AY36" s="935"/>
      <c r="AZ36" s="935"/>
      <c r="BA36" s="935"/>
      <c r="BB36" s="935"/>
      <c r="BC36" s="935"/>
      <c r="BD36" s="935"/>
      <c r="BE36" s="935"/>
      <c r="BF36" s="935"/>
      <c r="BG36" s="935"/>
      <c r="BH36" s="935"/>
      <c r="BI36" s="935"/>
      <c r="BJ36" s="935"/>
      <c r="BK36" s="935"/>
      <c r="BL36" s="935"/>
      <c r="BM36" s="935"/>
      <c r="BN36" s="935"/>
      <c r="BO36" s="935"/>
      <c r="BP36" s="935"/>
      <c r="BQ36" s="935"/>
      <c r="BR36" s="935"/>
      <c r="BS36" s="935"/>
      <c r="BT36" s="935"/>
    </row>
    <row r="37" spans="1:72" x14ac:dyDescent="0.25">
      <c r="A37" s="1667"/>
      <c r="B37" s="1668"/>
      <c r="C37" s="1668"/>
      <c r="D37" s="1668"/>
      <c r="E37" s="1663"/>
      <c r="F37" s="1663"/>
      <c r="G37" s="1663"/>
      <c r="H37" s="1663"/>
      <c r="I37" s="1663"/>
      <c r="J37" s="944">
        <v>1998</v>
      </c>
      <c r="K37" s="945">
        <v>96.5</v>
      </c>
      <c r="L37" s="935"/>
      <c r="M37" s="935"/>
      <c r="N37" s="935"/>
      <c r="O37" s="935"/>
      <c r="P37" s="935"/>
      <c r="Q37" s="935"/>
      <c r="R37" s="935"/>
      <c r="S37" s="935"/>
      <c r="T37" s="935"/>
      <c r="U37" s="935"/>
      <c r="V37" s="935"/>
      <c r="W37" s="935"/>
      <c r="X37" s="935"/>
      <c r="Y37" s="935"/>
      <c r="Z37" s="935"/>
      <c r="AA37" s="935"/>
      <c r="AB37" s="935"/>
      <c r="AC37" s="935"/>
      <c r="AD37" s="935"/>
      <c r="AE37" s="935"/>
      <c r="AF37" s="935"/>
      <c r="AG37" s="935"/>
      <c r="AH37" s="935"/>
      <c r="AI37" s="935"/>
      <c r="AJ37" s="935"/>
      <c r="AK37" s="935"/>
      <c r="AL37" s="935"/>
      <c r="AM37" s="935"/>
      <c r="AN37" s="935"/>
      <c r="AO37" s="935"/>
      <c r="AP37" s="935"/>
      <c r="AQ37" s="935"/>
      <c r="AR37" s="935"/>
      <c r="AS37" s="935"/>
      <c r="AT37" s="935"/>
      <c r="AU37" s="935"/>
      <c r="AV37" s="935"/>
      <c r="AW37" s="935"/>
      <c r="AX37" s="935"/>
      <c r="AY37" s="935"/>
      <c r="AZ37" s="935"/>
      <c r="BA37" s="935"/>
      <c r="BB37" s="935"/>
      <c r="BC37" s="935"/>
      <c r="BD37" s="935"/>
      <c r="BE37" s="935"/>
      <c r="BF37" s="935"/>
      <c r="BG37" s="935"/>
      <c r="BH37" s="935"/>
      <c r="BI37" s="935"/>
      <c r="BJ37" s="935"/>
      <c r="BK37" s="935"/>
      <c r="BL37" s="935"/>
      <c r="BM37" s="935"/>
      <c r="BN37" s="935"/>
      <c r="BO37" s="935"/>
      <c r="BP37" s="935"/>
      <c r="BQ37" s="935"/>
      <c r="BR37" s="935"/>
      <c r="BS37" s="935"/>
      <c r="BT37" s="935"/>
    </row>
    <row r="38" spans="1:72" ht="13" x14ac:dyDescent="0.3">
      <c r="A38" s="1672" t="s">
        <v>577</v>
      </c>
      <c r="B38" s="1673"/>
      <c r="C38" s="946" t="s">
        <v>578</v>
      </c>
      <c r="D38" s="946" t="s">
        <v>578</v>
      </c>
      <c r="E38" s="1673" t="s">
        <v>1115</v>
      </c>
      <c r="F38" s="1673"/>
      <c r="G38" s="1673"/>
      <c r="H38" s="1673"/>
      <c r="I38" s="1673"/>
      <c r="J38" s="942">
        <v>1999</v>
      </c>
      <c r="K38" s="943">
        <v>97.9</v>
      </c>
      <c r="L38" s="935"/>
      <c r="M38" s="935"/>
      <c r="N38" s="935"/>
      <c r="O38" s="935"/>
      <c r="P38" s="935"/>
      <c r="Q38" s="935"/>
      <c r="R38" s="935"/>
      <c r="S38" s="935"/>
      <c r="T38" s="935"/>
      <c r="U38" s="935"/>
      <c r="V38" s="935"/>
      <c r="W38" s="935"/>
      <c r="X38" s="935"/>
      <c r="Y38" s="935"/>
      <c r="Z38" s="935"/>
      <c r="AA38" s="935"/>
      <c r="AB38" s="935"/>
      <c r="AC38" s="935"/>
      <c r="AD38" s="935"/>
      <c r="AE38" s="935"/>
      <c r="AF38" s="935"/>
      <c r="AG38" s="935"/>
      <c r="AH38" s="935"/>
      <c r="AI38" s="935"/>
      <c r="AJ38" s="935"/>
      <c r="AK38" s="935"/>
      <c r="AL38" s="935"/>
      <c r="AM38" s="935"/>
      <c r="AN38" s="935"/>
      <c r="AO38" s="935"/>
      <c r="AP38" s="935"/>
      <c r="AQ38" s="935"/>
      <c r="AR38" s="935"/>
      <c r="AS38" s="935"/>
      <c r="AT38" s="935"/>
      <c r="AU38" s="935"/>
      <c r="AV38" s="935"/>
      <c r="AW38" s="935"/>
      <c r="AX38" s="935"/>
      <c r="AY38" s="935"/>
      <c r="AZ38" s="935"/>
      <c r="BA38" s="935"/>
      <c r="BB38" s="935"/>
      <c r="BC38" s="935"/>
      <c r="BD38" s="935"/>
      <c r="BE38" s="935"/>
      <c r="BF38" s="935"/>
      <c r="BG38" s="935"/>
      <c r="BH38" s="935"/>
      <c r="BI38" s="935"/>
      <c r="BJ38" s="935"/>
      <c r="BK38" s="935"/>
      <c r="BL38" s="935"/>
      <c r="BM38" s="935"/>
      <c r="BN38" s="935"/>
      <c r="BO38" s="935"/>
      <c r="BP38" s="935"/>
      <c r="BQ38" s="935"/>
      <c r="BR38" s="935"/>
      <c r="BS38" s="935"/>
      <c r="BT38" s="935"/>
    </row>
    <row r="39" spans="1:72" ht="13" x14ac:dyDescent="0.3">
      <c r="A39" s="940"/>
      <c r="B39" s="889" t="s">
        <v>1049</v>
      </c>
      <c r="C39" s="944">
        <v>2000</v>
      </c>
      <c r="D39" s="944">
        <v>2005</v>
      </c>
      <c r="E39" s="944">
        <v>2020</v>
      </c>
      <c r="F39" s="944">
        <v>2035</v>
      </c>
      <c r="G39" s="944">
        <v>2050</v>
      </c>
      <c r="H39" s="944">
        <v>2065</v>
      </c>
      <c r="I39" s="944">
        <v>2070</v>
      </c>
      <c r="J39" s="944">
        <v>2000</v>
      </c>
      <c r="K39" s="945">
        <v>100</v>
      </c>
      <c r="L39" s="935"/>
      <c r="M39" s="935"/>
      <c r="N39" s="935"/>
      <c r="O39" s="935"/>
      <c r="P39" s="935"/>
      <c r="Q39" s="935"/>
      <c r="R39" s="935"/>
      <c r="S39" s="935"/>
      <c r="T39" s="935"/>
      <c r="U39" s="935"/>
      <c r="V39" s="935"/>
      <c r="W39" s="935"/>
      <c r="X39" s="935"/>
      <c r="Y39" s="935"/>
      <c r="Z39" s="935"/>
      <c r="AA39" s="935"/>
      <c r="AB39" s="935"/>
      <c r="AC39" s="935"/>
      <c r="AD39" s="935"/>
      <c r="AE39" s="935"/>
      <c r="AF39" s="935"/>
      <c r="AG39" s="935"/>
      <c r="AH39" s="935"/>
      <c r="AI39" s="935"/>
      <c r="AJ39" s="935"/>
      <c r="AK39" s="935"/>
      <c r="AL39" s="935"/>
      <c r="AM39" s="935"/>
      <c r="AN39" s="935"/>
      <c r="AO39" s="935"/>
      <c r="AP39" s="935"/>
      <c r="AQ39" s="935"/>
      <c r="AR39" s="935"/>
      <c r="AS39" s="935"/>
      <c r="AT39" s="935"/>
      <c r="AU39" s="935"/>
      <c r="AV39" s="935"/>
      <c r="AW39" s="935"/>
      <c r="AX39" s="935"/>
      <c r="AY39" s="935"/>
      <c r="AZ39" s="935"/>
      <c r="BA39" s="935"/>
      <c r="BB39" s="935"/>
      <c r="BC39" s="935"/>
      <c r="BD39" s="935"/>
      <c r="BE39" s="935"/>
      <c r="BF39" s="935"/>
      <c r="BG39" s="935"/>
      <c r="BH39" s="935"/>
      <c r="BI39" s="935"/>
      <c r="BJ39" s="935"/>
      <c r="BK39" s="935"/>
      <c r="BL39" s="935"/>
      <c r="BM39" s="935"/>
      <c r="BN39" s="935"/>
      <c r="BO39" s="935"/>
      <c r="BP39" s="935"/>
      <c r="BQ39" s="935"/>
      <c r="BR39" s="935"/>
      <c r="BS39" s="935"/>
      <c r="BT39" s="935"/>
    </row>
    <row r="40" spans="1:72" x14ac:dyDescent="0.25">
      <c r="A40" s="938" t="s">
        <v>569</v>
      </c>
      <c r="B40" s="947" t="s">
        <v>579</v>
      </c>
      <c r="C40" s="942">
        <v>25.276500000000002</v>
      </c>
      <c r="D40" s="942">
        <v>25.071000000000002</v>
      </c>
      <c r="E40" s="942">
        <v>49.911552427759986</v>
      </c>
      <c r="F40" s="942">
        <v>51.73380738099187</v>
      </c>
      <c r="G40" s="942">
        <v>54.228868079187265</v>
      </c>
      <c r="H40" s="942">
        <v>57.083559627090274</v>
      </c>
      <c r="I40" s="942">
        <v>57.998580810871225</v>
      </c>
      <c r="J40" s="942">
        <v>2001</v>
      </c>
      <c r="K40" s="943">
        <v>102.4</v>
      </c>
      <c r="L40" s="935"/>
      <c r="M40" s="935"/>
      <c r="N40" s="935"/>
      <c r="O40" s="935"/>
      <c r="P40" s="935"/>
      <c r="Q40" s="935"/>
      <c r="R40" s="935"/>
      <c r="S40" s="935"/>
      <c r="T40" s="935"/>
      <c r="U40" s="935"/>
      <c r="V40" s="935"/>
      <c r="W40" s="935"/>
      <c r="X40" s="935"/>
      <c r="Y40" s="935"/>
      <c r="Z40" s="935"/>
      <c r="AA40" s="935"/>
      <c r="AB40" s="935"/>
      <c r="AC40" s="935"/>
      <c r="AD40" s="935"/>
      <c r="AE40" s="935"/>
      <c r="AF40" s="935"/>
      <c r="AG40" s="935"/>
      <c r="AH40" s="935"/>
      <c r="AI40" s="935"/>
      <c r="AJ40" s="935"/>
      <c r="AK40" s="935"/>
      <c r="AL40" s="935"/>
      <c r="AM40" s="935"/>
      <c r="AN40" s="935"/>
      <c r="AO40" s="935"/>
      <c r="AP40" s="935"/>
      <c r="AQ40" s="935"/>
      <c r="AR40" s="935"/>
      <c r="AS40" s="935"/>
      <c r="AT40" s="935"/>
      <c r="AU40" s="935"/>
      <c r="AV40" s="935"/>
      <c r="AW40" s="935"/>
      <c r="AX40" s="935"/>
      <c r="AY40" s="935"/>
      <c r="AZ40" s="935"/>
      <c r="BA40" s="935"/>
      <c r="BB40" s="935"/>
      <c r="BC40" s="935"/>
      <c r="BD40" s="935"/>
      <c r="BE40" s="935"/>
      <c r="BF40" s="935"/>
      <c r="BG40" s="935"/>
      <c r="BH40" s="935"/>
      <c r="BI40" s="935"/>
      <c r="BJ40" s="935"/>
      <c r="BK40" s="935"/>
      <c r="BL40" s="935"/>
      <c r="BM40" s="935"/>
      <c r="BN40" s="935"/>
      <c r="BO40" s="935"/>
      <c r="BP40" s="935"/>
      <c r="BQ40" s="935"/>
      <c r="BR40" s="935"/>
      <c r="BS40" s="935"/>
      <c r="BT40" s="935"/>
    </row>
    <row r="41" spans="1:72" x14ac:dyDescent="0.25">
      <c r="A41" s="940" t="s">
        <v>570</v>
      </c>
      <c r="B41" s="948" t="s">
        <v>580</v>
      </c>
      <c r="C41" s="944">
        <v>3.83</v>
      </c>
      <c r="D41" s="944">
        <v>2.88</v>
      </c>
      <c r="E41" s="944">
        <v>3.4820792312666162</v>
      </c>
      <c r="F41" s="944">
        <v>3.718467288972283</v>
      </c>
      <c r="G41" s="944">
        <v>4.254403392012021</v>
      </c>
      <c r="H41" s="944">
        <v>4.8331418485312492</v>
      </c>
      <c r="I41" s="944">
        <v>5.0085938618348607</v>
      </c>
      <c r="J41" s="944">
        <v>2002</v>
      </c>
      <c r="K41" s="945">
        <v>104.1</v>
      </c>
      <c r="L41" s="935"/>
      <c r="M41" s="935"/>
      <c r="N41" s="935"/>
      <c r="O41" s="935"/>
      <c r="P41" s="935"/>
      <c r="Q41" s="935"/>
      <c r="R41" s="935"/>
      <c r="S41" s="935"/>
      <c r="T41" s="935"/>
      <c r="U41" s="935"/>
      <c r="V41" s="935"/>
      <c r="W41" s="935"/>
      <c r="X41" s="935"/>
      <c r="Y41" s="935"/>
      <c r="Z41" s="935"/>
      <c r="AA41" s="935"/>
      <c r="AB41" s="935"/>
      <c r="AC41" s="935"/>
      <c r="AD41" s="935"/>
      <c r="AE41" s="935"/>
      <c r="AF41" s="935"/>
      <c r="AG41" s="935"/>
      <c r="AH41" s="935"/>
      <c r="AI41" s="935"/>
      <c r="AJ41" s="935"/>
      <c r="AK41" s="935"/>
      <c r="AL41" s="935"/>
      <c r="AM41" s="935"/>
      <c r="AN41" s="935"/>
      <c r="AO41" s="935"/>
      <c r="AP41" s="935"/>
      <c r="AQ41" s="935"/>
      <c r="AR41" s="935"/>
      <c r="AS41" s="935"/>
      <c r="AT41" s="935"/>
      <c r="AU41" s="935"/>
      <c r="AV41" s="935"/>
      <c r="AW41" s="935"/>
      <c r="AX41" s="935"/>
      <c r="AY41" s="935"/>
      <c r="AZ41" s="935"/>
      <c r="BA41" s="935"/>
      <c r="BB41" s="935"/>
      <c r="BC41" s="935"/>
      <c r="BD41" s="935"/>
      <c r="BE41" s="935"/>
      <c r="BF41" s="935"/>
      <c r="BG41" s="935"/>
      <c r="BH41" s="935"/>
      <c r="BI41" s="935"/>
      <c r="BJ41" s="935"/>
      <c r="BK41" s="935"/>
      <c r="BL41" s="935"/>
      <c r="BM41" s="935"/>
      <c r="BN41" s="935"/>
      <c r="BO41" s="935"/>
      <c r="BP41" s="935"/>
      <c r="BQ41" s="935"/>
      <c r="BR41" s="935"/>
      <c r="BS41" s="935"/>
      <c r="BT41" s="935"/>
    </row>
    <row r="42" spans="1:72" x14ac:dyDescent="0.25">
      <c r="A42" s="938" t="s">
        <v>571</v>
      </c>
      <c r="B42" s="947" t="s">
        <v>580</v>
      </c>
      <c r="C42" s="942">
        <v>4.333333333333333</v>
      </c>
      <c r="D42" s="942">
        <v>3.2058823529411766</v>
      </c>
      <c r="E42" s="942">
        <v>5.3135477999345282</v>
      </c>
      <c r="F42" s="942">
        <v>5.6703709369749671</v>
      </c>
      <c r="G42" s="942">
        <v>6.3804589018936815</v>
      </c>
      <c r="H42" s="942">
        <v>7.1603102550975084</v>
      </c>
      <c r="I42" s="942">
        <v>7.3649472464330987</v>
      </c>
      <c r="J42" s="942">
        <v>2003</v>
      </c>
      <c r="K42" s="943">
        <v>106</v>
      </c>
      <c r="L42" s="935"/>
      <c r="M42" s="935"/>
      <c r="N42" s="935"/>
      <c r="O42" s="935"/>
      <c r="P42" s="935"/>
      <c r="Q42" s="935"/>
      <c r="R42" s="935"/>
      <c r="S42" s="935"/>
      <c r="T42" s="935"/>
      <c r="U42" s="935"/>
      <c r="V42" s="935"/>
      <c r="W42" s="935"/>
      <c r="X42" s="935"/>
      <c r="Y42" s="935"/>
      <c r="Z42" s="935"/>
      <c r="AA42" s="935"/>
      <c r="AB42" s="935"/>
      <c r="AC42" s="935"/>
      <c r="AD42" s="935"/>
      <c r="AE42" s="935"/>
      <c r="AF42" s="935"/>
      <c r="AG42" s="935"/>
      <c r="AH42" s="935"/>
      <c r="AI42" s="935"/>
      <c r="AJ42" s="935"/>
      <c r="AK42" s="935"/>
      <c r="AL42" s="935"/>
      <c r="AM42" s="935"/>
      <c r="AN42" s="935"/>
      <c r="AO42" s="935"/>
      <c r="AP42" s="935"/>
      <c r="AQ42" s="935"/>
      <c r="AR42" s="935"/>
      <c r="AS42" s="935"/>
      <c r="AT42" s="935"/>
      <c r="AU42" s="935"/>
      <c r="AV42" s="935"/>
      <c r="AW42" s="935"/>
      <c r="AX42" s="935"/>
      <c r="AY42" s="935"/>
      <c r="AZ42" s="935"/>
      <c r="BA42" s="935"/>
      <c r="BB42" s="935"/>
      <c r="BC42" s="935"/>
      <c r="BD42" s="935"/>
      <c r="BE42" s="935"/>
      <c r="BF42" s="935"/>
      <c r="BG42" s="935"/>
      <c r="BH42" s="935"/>
      <c r="BI42" s="935"/>
      <c r="BJ42" s="935"/>
      <c r="BK42" s="935"/>
      <c r="BL42" s="935"/>
      <c r="BM42" s="935"/>
      <c r="BN42" s="935"/>
      <c r="BO42" s="935"/>
      <c r="BP42" s="935"/>
      <c r="BQ42" s="935"/>
      <c r="BR42" s="935"/>
      <c r="BS42" s="935"/>
      <c r="BT42" s="935"/>
    </row>
    <row r="43" spans="1:72" ht="13" x14ac:dyDescent="0.3">
      <c r="A43" s="940" t="s">
        <v>572</v>
      </c>
      <c r="B43" s="948" t="s">
        <v>581</v>
      </c>
      <c r="C43" s="944">
        <v>28.35</v>
      </c>
      <c r="D43" s="944">
        <v>23.27</v>
      </c>
      <c r="E43" s="944">
        <v>38.166254666132858</v>
      </c>
      <c r="F43" s="944">
        <v>44.018296607182357</v>
      </c>
      <c r="G43" s="944">
        <v>47.046046898954408</v>
      </c>
      <c r="H43" s="944">
        <v>48.050792851691</v>
      </c>
      <c r="I43" s="944">
        <v>48.201553003292787</v>
      </c>
      <c r="J43" s="944">
        <v>2004</v>
      </c>
      <c r="K43" s="949">
        <v>108.3</v>
      </c>
      <c r="L43" s="935"/>
      <c r="M43" s="935"/>
      <c r="N43" s="935"/>
      <c r="O43" s="935"/>
      <c r="P43" s="935"/>
      <c r="Q43" s="935"/>
      <c r="R43" s="935"/>
      <c r="S43" s="935"/>
      <c r="T43" s="935"/>
      <c r="U43" s="935"/>
      <c r="V43" s="935"/>
      <c r="W43" s="935"/>
      <c r="X43" s="935"/>
      <c r="Y43" s="935"/>
      <c r="Z43" s="935"/>
      <c r="AA43" s="935"/>
      <c r="AB43" s="935"/>
      <c r="AC43" s="935"/>
      <c r="AD43" s="935"/>
      <c r="AE43" s="935"/>
      <c r="AF43" s="935"/>
      <c r="AG43" s="935"/>
      <c r="AH43" s="935"/>
      <c r="AI43" s="935"/>
      <c r="AJ43" s="935"/>
      <c r="AK43" s="935"/>
      <c r="AL43" s="935"/>
      <c r="AM43" s="935"/>
      <c r="AN43" s="935"/>
      <c r="AO43" s="935"/>
      <c r="AP43" s="935"/>
      <c r="AQ43" s="935"/>
      <c r="AR43" s="935"/>
      <c r="AS43" s="935"/>
      <c r="AT43" s="935"/>
      <c r="AU43" s="935"/>
      <c r="AV43" s="935"/>
      <c r="AW43" s="935"/>
      <c r="AX43" s="935"/>
      <c r="AY43" s="935"/>
      <c r="AZ43" s="935"/>
      <c r="BA43" s="935"/>
      <c r="BB43" s="935"/>
      <c r="BC43" s="935"/>
      <c r="BD43" s="935"/>
      <c r="BE43" s="935"/>
      <c r="BF43" s="935"/>
      <c r="BG43" s="935"/>
      <c r="BH43" s="935"/>
      <c r="BI43" s="935"/>
      <c r="BJ43" s="935"/>
      <c r="BK43" s="935"/>
      <c r="BL43" s="935"/>
      <c r="BM43" s="935"/>
      <c r="BN43" s="935"/>
      <c r="BO43" s="935"/>
      <c r="BP43" s="935"/>
      <c r="BQ43" s="935"/>
      <c r="BR43" s="935"/>
      <c r="BS43" s="935"/>
      <c r="BT43" s="935"/>
    </row>
    <row r="44" spans="1:72" ht="13" x14ac:dyDescent="0.3">
      <c r="A44" s="938" t="s">
        <v>573</v>
      </c>
      <c r="B44" s="947" t="s">
        <v>582</v>
      </c>
      <c r="C44" s="942">
        <v>1.5176666666666667</v>
      </c>
      <c r="D44" s="942">
        <v>1.2925714285714285</v>
      </c>
      <c r="E44" s="942">
        <v>1.9428327208531595</v>
      </c>
      <c r="F44" s="942">
        <v>2.1262391061548653</v>
      </c>
      <c r="G44" s="942">
        <v>2.2056865867102777</v>
      </c>
      <c r="H44" s="942">
        <v>2.2243217316177319</v>
      </c>
      <c r="I44" s="942">
        <v>2.2266990166381286</v>
      </c>
      <c r="J44" s="942">
        <v>2005</v>
      </c>
      <c r="K44" s="950">
        <v>110.5</v>
      </c>
      <c r="L44" s="935"/>
      <c r="M44" s="935"/>
      <c r="N44" s="935"/>
      <c r="O44" s="935"/>
      <c r="P44" s="935"/>
      <c r="Q44" s="935"/>
      <c r="R44" s="935"/>
      <c r="S44" s="935"/>
      <c r="T44" s="935"/>
      <c r="U44" s="935"/>
      <c r="V44" s="935"/>
      <c r="W44" s="935"/>
      <c r="X44" s="935"/>
      <c r="Y44" s="935"/>
      <c r="Z44" s="935"/>
      <c r="AA44" s="935"/>
      <c r="AB44" s="935"/>
      <c r="AC44" s="935"/>
      <c r="AD44" s="935"/>
      <c r="AE44" s="935"/>
      <c r="AF44" s="935"/>
      <c r="AG44" s="935"/>
      <c r="AH44" s="935"/>
      <c r="AI44" s="935"/>
      <c r="AJ44" s="935"/>
      <c r="AK44" s="935"/>
      <c r="AL44" s="935"/>
      <c r="AM44" s="935"/>
      <c r="AN44" s="935"/>
      <c r="AO44" s="935"/>
      <c r="AP44" s="935"/>
      <c r="AQ44" s="935"/>
      <c r="AR44" s="935"/>
      <c r="AS44" s="935"/>
      <c r="AT44" s="935"/>
      <c r="AU44" s="935"/>
      <c r="AV44" s="935"/>
      <c r="AW44" s="935"/>
      <c r="AX44" s="935"/>
      <c r="AY44" s="935"/>
      <c r="AZ44" s="935"/>
      <c r="BA44" s="935"/>
      <c r="BB44" s="935"/>
      <c r="BC44" s="935"/>
      <c r="BD44" s="935"/>
      <c r="BE44" s="935"/>
      <c r="BF44" s="935"/>
      <c r="BG44" s="935"/>
      <c r="BH44" s="935"/>
      <c r="BI44" s="935"/>
      <c r="BJ44" s="935"/>
      <c r="BK44" s="935"/>
      <c r="BL44" s="935"/>
      <c r="BM44" s="935"/>
      <c r="BN44" s="935"/>
      <c r="BO44" s="935"/>
      <c r="BP44" s="935"/>
      <c r="BQ44" s="935"/>
      <c r="BR44" s="935"/>
      <c r="BS44" s="935"/>
      <c r="BT44" s="935"/>
    </row>
    <row r="45" spans="1:72" x14ac:dyDescent="0.25">
      <c r="A45" s="940" t="s">
        <v>574</v>
      </c>
      <c r="B45" s="948" t="s">
        <v>583</v>
      </c>
      <c r="C45" s="944">
        <v>6.9</v>
      </c>
      <c r="D45" s="944">
        <v>6.4</v>
      </c>
      <c r="E45" s="944">
        <v>7.2674708046079139</v>
      </c>
      <c r="F45" s="944">
        <v>7.0885496188632935</v>
      </c>
      <c r="G45" s="944">
        <v>6.9118429447797478</v>
      </c>
      <c r="H45" s="944">
        <v>6.9722480090117775</v>
      </c>
      <c r="I45" s="944">
        <v>6.9487741854044058</v>
      </c>
      <c r="J45" s="1674" t="s">
        <v>761</v>
      </c>
      <c r="K45" s="1675"/>
      <c r="L45" s="935"/>
      <c r="M45" s="935"/>
      <c r="N45" s="935"/>
      <c r="O45" s="935"/>
      <c r="P45" s="935"/>
      <c r="Q45" s="935"/>
      <c r="R45" s="935"/>
      <c r="S45" s="935"/>
      <c r="T45" s="935"/>
      <c r="U45" s="935"/>
      <c r="V45" s="935"/>
      <c r="W45" s="935"/>
      <c r="X45" s="935"/>
      <c r="Y45" s="935"/>
      <c r="Z45" s="935"/>
      <c r="AA45" s="935"/>
      <c r="AB45" s="935"/>
      <c r="AC45" s="935"/>
      <c r="AD45" s="935"/>
      <c r="AE45" s="935"/>
      <c r="AF45" s="935"/>
      <c r="AG45" s="935"/>
      <c r="AH45" s="935"/>
      <c r="AI45" s="935"/>
      <c r="AJ45" s="935"/>
      <c r="AK45" s="935"/>
      <c r="AL45" s="935"/>
      <c r="AM45" s="935"/>
      <c r="AN45" s="935"/>
      <c r="AO45" s="935"/>
      <c r="AP45" s="935"/>
      <c r="AQ45" s="935"/>
      <c r="AR45" s="935"/>
      <c r="AS45" s="935"/>
      <c r="AT45" s="935"/>
      <c r="AU45" s="935"/>
      <c r="AV45" s="935"/>
      <c r="AW45" s="935"/>
      <c r="AX45" s="935"/>
      <c r="AY45" s="935"/>
      <c r="AZ45" s="935"/>
      <c r="BA45" s="935"/>
      <c r="BB45" s="935"/>
      <c r="BC45" s="935"/>
      <c r="BD45" s="935"/>
      <c r="BE45" s="935"/>
      <c r="BF45" s="935"/>
      <c r="BG45" s="935"/>
      <c r="BH45" s="935"/>
      <c r="BI45" s="935"/>
      <c r="BJ45" s="935"/>
      <c r="BK45" s="935"/>
      <c r="BL45" s="935"/>
      <c r="BM45" s="935"/>
      <c r="BN45" s="935"/>
      <c r="BO45" s="935"/>
      <c r="BP45" s="935"/>
      <c r="BQ45" s="935"/>
      <c r="BR45" s="935"/>
      <c r="BS45" s="935"/>
      <c r="BT45" s="935"/>
    </row>
    <row r="46" spans="1:72" x14ac:dyDescent="0.25">
      <c r="A46" s="938" t="s">
        <v>575</v>
      </c>
      <c r="B46" s="947" t="s">
        <v>584</v>
      </c>
      <c r="C46" s="942"/>
      <c r="D46" s="942"/>
      <c r="E46" s="942">
        <v>3.9267286033597717</v>
      </c>
      <c r="F46" s="942">
        <v>3.4025762910602637</v>
      </c>
      <c r="G46" s="942">
        <v>3.7218644965506216</v>
      </c>
      <c r="H46" s="942">
        <v>4.0392206503019663</v>
      </c>
      <c r="I46" s="942">
        <v>4.0968490901035652</v>
      </c>
      <c r="J46" s="1674"/>
      <c r="K46" s="1675"/>
      <c r="L46" s="935"/>
      <c r="M46" s="935"/>
      <c r="N46" s="935"/>
      <c r="O46" s="935"/>
      <c r="P46" s="935"/>
      <c r="Q46" s="935"/>
      <c r="R46" s="935"/>
      <c r="S46" s="935"/>
      <c r="T46" s="935"/>
      <c r="U46" s="935"/>
      <c r="V46" s="935"/>
      <c r="W46" s="935"/>
      <c r="X46" s="935"/>
      <c r="Y46" s="935"/>
      <c r="Z46" s="935"/>
      <c r="AA46" s="935"/>
      <c r="AB46" s="935"/>
      <c r="AC46" s="935"/>
      <c r="AD46" s="935"/>
      <c r="AE46" s="935"/>
      <c r="AF46" s="935"/>
      <c r="AG46" s="935"/>
      <c r="AH46" s="935"/>
      <c r="AI46" s="935"/>
      <c r="AJ46" s="935"/>
      <c r="AK46" s="935"/>
      <c r="AL46" s="935"/>
      <c r="AM46" s="935"/>
      <c r="AN46" s="935"/>
      <c r="AO46" s="935"/>
      <c r="AP46" s="935"/>
      <c r="AQ46" s="935"/>
      <c r="AR46" s="935"/>
      <c r="AS46" s="935"/>
      <c r="AT46" s="935"/>
      <c r="AU46" s="935"/>
      <c r="AV46" s="935"/>
      <c r="AW46" s="935"/>
      <c r="AX46" s="935"/>
      <c r="AY46" s="935"/>
      <c r="AZ46" s="935"/>
      <c r="BA46" s="935"/>
      <c r="BB46" s="935"/>
      <c r="BC46" s="935"/>
      <c r="BD46" s="935"/>
      <c r="BE46" s="935"/>
      <c r="BF46" s="935"/>
      <c r="BG46" s="935"/>
      <c r="BH46" s="935"/>
      <c r="BI46" s="935"/>
      <c r="BJ46" s="935"/>
      <c r="BK46" s="935"/>
      <c r="BL46" s="935"/>
      <c r="BM46" s="935"/>
      <c r="BN46" s="935"/>
      <c r="BO46" s="935"/>
      <c r="BP46" s="935"/>
      <c r="BQ46" s="935"/>
      <c r="BR46" s="935"/>
      <c r="BS46" s="935"/>
      <c r="BT46" s="935"/>
    </row>
    <row r="47" spans="1:72" x14ac:dyDescent="0.25">
      <c r="A47" s="940" t="s">
        <v>312</v>
      </c>
      <c r="B47" s="948" t="s">
        <v>584</v>
      </c>
      <c r="C47" s="944"/>
      <c r="D47" s="944"/>
      <c r="E47" s="944">
        <v>24.686324737923844</v>
      </c>
      <c r="F47" s="944">
        <v>23.090083577893328</v>
      </c>
      <c r="G47" s="944">
        <v>23.196746158381607</v>
      </c>
      <c r="H47" s="944">
        <v>23.268531873857007</v>
      </c>
      <c r="I47" s="944">
        <v>23.201243175360347</v>
      </c>
      <c r="J47" s="1674"/>
      <c r="K47" s="1675"/>
      <c r="L47" s="935"/>
      <c r="M47" s="935"/>
      <c r="N47" s="935"/>
      <c r="O47" s="935"/>
      <c r="P47" s="935"/>
      <c r="Q47" s="935"/>
      <c r="R47" s="935"/>
      <c r="S47" s="935"/>
      <c r="T47" s="935"/>
      <c r="U47" s="935"/>
      <c r="V47" s="935"/>
      <c r="W47" s="935"/>
      <c r="X47" s="935"/>
      <c r="Y47" s="935"/>
      <c r="Z47" s="935"/>
      <c r="AA47" s="935"/>
      <c r="AB47" s="935"/>
      <c r="AC47" s="935"/>
      <c r="AD47" s="935"/>
      <c r="AE47" s="935"/>
      <c r="AF47" s="935"/>
      <c r="AG47" s="935"/>
      <c r="AH47" s="935"/>
      <c r="AI47" s="935"/>
      <c r="AJ47" s="935"/>
      <c r="AK47" s="935"/>
      <c r="AL47" s="935"/>
      <c r="AM47" s="935"/>
      <c r="AN47" s="935"/>
      <c r="AO47" s="935"/>
      <c r="AP47" s="935"/>
      <c r="AQ47" s="935"/>
      <c r="AR47" s="935"/>
      <c r="AS47" s="935"/>
      <c r="AT47" s="935"/>
      <c r="AU47" s="935"/>
      <c r="AV47" s="935"/>
      <c r="AW47" s="935"/>
      <c r="AX47" s="935"/>
      <c r="AY47" s="935"/>
      <c r="AZ47" s="935"/>
      <c r="BA47" s="935"/>
      <c r="BB47" s="935"/>
      <c r="BC47" s="935"/>
      <c r="BD47" s="935"/>
      <c r="BE47" s="935"/>
      <c r="BF47" s="935"/>
      <c r="BG47" s="935"/>
      <c r="BH47" s="935"/>
      <c r="BI47" s="935"/>
      <c r="BJ47" s="935"/>
      <c r="BK47" s="935"/>
      <c r="BL47" s="935"/>
      <c r="BM47" s="935"/>
      <c r="BN47" s="935"/>
      <c r="BO47" s="935"/>
      <c r="BP47" s="935"/>
      <c r="BQ47" s="935"/>
      <c r="BR47" s="935"/>
      <c r="BS47" s="935"/>
      <c r="BT47" s="935"/>
    </row>
    <row r="48" spans="1:72" ht="37.5" x14ac:dyDescent="0.25">
      <c r="A48" s="956" t="s">
        <v>770</v>
      </c>
      <c r="B48" s="947" t="s">
        <v>579</v>
      </c>
      <c r="C48" s="942"/>
      <c r="D48" s="942"/>
      <c r="E48" s="942">
        <v>10</v>
      </c>
      <c r="F48" s="942">
        <v>10</v>
      </c>
      <c r="G48" s="942">
        <v>10</v>
      </c>
      <c r="H48" s="942">
        <v>10</v>
      </c>
      <c r="I48" s="942"/>
      <c r="J48" s="1674"/>
      <c r="K48" s="1675"/>
      <c r="L48" s="935"/>
      <c r="M48" s="935"/>
      <c r="N48" s="935"/>
      <c r="O48" s="935"/>
      <c r="P48" s="935"/>
      <c r="Q48" s="935"/>
      <c r="R48" s="935"/>
      <c r="S48" s="935"/>
      <c r="T48" s="935"/>
      <c r="U48" s="935"/>
      <c r="V48" s="935"/>
      <c r="W48" s="935"/>
      <c r="X48" s="935"/>
      <c r="Y48" s="935"/>
      <c r="Z48" s="935"/>
      <c r="AA48" s="935"/>
      <c r="AB48" s="935"/>
      <c r="AC48" s="935"/>
      <c r="AD48" s="935"/>
      <c r="AE48" s="935"/>
      <c r="AF48" s="935"/>
      <c r="AG48" s="935"/>
      <c r="AH48" s="935"/>
      <c r="AI48" s="935"/>
      <c r="AJ48" s="935"/>
      <c r="AK48" s="935"/>
      <c r="AL48" s="935"/>
      <c r="AM48" s="935"/>
      <c r="AN48" s="935"/>
      <c r="AO48" s="935"/>
      <c r="AP48" s="935"/>
      <c r="AQ48" s="935"/>
      <c r="AR48" s="935"/>
      <c r="AS48" s="935"/>
      <c r="AT48" s="935"/>
      <c r="AU48" s="935"/>
      <c r="AV48" s="935"/>
      <c r="AW48" s="935"/>
      <c r="AX48" s="935"/>
      <c r="AY48" s="935"/>
      <c r="AZ48" s="935"/>
      <c r="BA48" s="935"/>
      <c r="BB48" s="935"/>
      <c r="BC48" s="935"/>
      <c r="BD48" s="935"/>
      <c r="BE48" s="935"/>
      <c r="BF48" s="935"/>
      <c r="BG48" s="935"/>
      <c r="BH48" s="935"/>
      <c r="BI48" s="935"/>
      <c r="BJ48" s="935"/>
      <c r="BK48" s="935"/>
      <c r="BL48" s="935"/>
      <c r="BM48" s="935"/>
      <c r="BN48" s="935"/>
      <c r="BO48" s="935"/>
      <c r="BP48" s="935"/>
      <c r="BQ48" s="935"/>
      <c r="BR48" s="935"/>
      <c r="BS48" s="935"/>
      <c r="BT48" s="935"/>
    </row>
    <row r="49" spans="1:72" x14ac:dyDescent="0.25">
      <c r="B49" s="955" t="s">
        <v>769</v>
      </c>
      <c r="C49" s="953"/>
      <c r="D49" s="953"/>
      <c r="E49" s="953">
        <f>E48*$B$61</f>
        <v>0.65713983050847458</v>
      </c>
      <c r="F49" s="953">
        <f>F48*$B$61</f>
        <v>0.65713983050847458</v>
      </c>
      <c r="G49" s="953">
        <f>G48*$B$61</f>
        <v>0.65713983050847458</v>
      </c>
      <c r="H49" s="953">
        <f>H48*$B$61</f>
        <v>0.65713983050847458</v>
      </c>
      <c r="I49" s="953"/>
      <c r="J49" s="953"/>
      <c r="K49" s="954"/>
      <c r="L49" s="935"/>
      <c r="M49" s="935"/>
      <c r="N49" s="935"/>
      <c r="O49" s="935"/>
      <c r="P49" s="935"/>
      <c r="Q49" s="935"/>
      <c r="R49" s="935"/>
      <c r="S49" s="935"/>
      <c r="T49" s="935"/>
      <c r="U49" s="935"/>
      <c r="V49" s="935"/>
      <c r="W49" s="935"/>
      <c r="X49" s="935"/>
      <c r="Y49" s="935"/>
      <c r="Z49" s="935"/>
      <c r="AA49" s="935"/>
      <c r="AB49" s="935"/>
      <c r="AC49" s="935"/>
      <c r="AD49" s="935"/>
      <c r="AE49" s="935"/>
      <c r="AF49" s="935"/>
      <c r="AG49" s="935"/>
      <c r="AH49" s="935"/>
      <c r="AI49" s="935"/>
      <c r="AJ49" s="935"/>
      <c r="AK49" s="935"/>
      <c r="AL49" s="935"/>
      <c r="AM49" s="935"/>
      <c r="AN49" s="935"/>
      <c r="AO49" s="935"/>
      <c r="AP49" s="935"/>
      <c r="AQ49" s="935"/>
      <c r="AR49" s="935"/>
      <c r="AS49" s="935"/>
      <c r="AT49" s="935"/>
      <c r="AU49" s="935"/>
      <c r="AV49" s="935"/>
      <c r="AW49" s="935"/>
      <c r="AX49" s="935"/>
      <c r="AY49" s="935"/>
      <c r="AZ49" s="935"/>
      <c r="BA49" s="935"/>
      <c r="BB49" s="935"/>
      <c r="BC49" s="935"/>
      <c r="BD49" s="935"/>
      <c r="BE49" s="935"/>
      <c r="BF49" s="935"/>
      <c r="BG49" s="935"/>
      <c r="BH49" s="935"/>
      <c r="BI49" s="935"/>
      <c r="BJ49" s="935"/>
      <c r="BK49" s="935"/>
      <c r="BL49" s="935"/>
      <c r="BM49" s="935"/>
      <c r="BN49" s="935"/>
      <c r="BO49" s="935"/>
      <c r="BP49" s="935"/>
      <c r="BQ49" s="935"/>
      <c r="BR49" s="935"/>
      <c r="BS49" s="935"/>
      <c r="BT49" s="935"/>
    </row>
    <row r="50" spans="1:72" x14ac:dyDescent="0.25">
      <c r="A50" s="956" t="s">
        <v>771</v>
      </c>
      <c r="B50" s="957" t="s">
        <v>584</v>
      </c>
      <c r="C50" s="942"/>
      <c r="D50" s="942"/>
      <c r="E50" s="942">
        <f>E49+E46</f>
        <v>4.5838684338682461</v>
      </c>
      <c r="F50" s="942">
        <f>F49+F46</f>
        <v>4.0597161215687381</v>
      </c>
      <c r="G50" s="942">
        <f>G49+G46</f>
        <v>4.3790043270590964</v>
      </c>
      <c r="H50" s="942">
        <f>H49+H46</f>
        <v>4.6963604808104407</v>
      </c>
      <c r="I50" s="942"/>
      <c r="J50" s="953"/>
      <c r="K50" s="954"/>
      <c r="L50" s="935"/>
      <c r="M50" s="935"/>
      <c r="N50" s="935"/>
      <c r="O50" s="935"/>
      <c r="P50" s="935"/>
      <c r="Q50" s="935"/>
      <c r="R50" s="935"/>
      <c r="S50" s="935"/>
      <c r="T50" s="935"/>
      <c r="U50" s="935"/>
      <c r="V50" s="935"/>
      <c r="W50" s="935"/>
      <c r="X50" s="935"/>
      <c r="Y50" s="935"/>
      <c r="Z50" s="935"/>
      <c r="AA50" s="935"/>
      <c r="AB50" s="935"/>
      <c r="AC50" s="935"/>
      <c r="AD50" s="935"/>
      <c r="AE50" s="935"/>
      <c r="AF50" s="935"/>
      <c r="AG50" s="935"/>
      <c r="AH50" s="935"/>
      <c r="AI50" s="935"/>
      <c r="AJ50" s="935"/>
      <c r="AK50" s="935"/>
      <c r="AL50" s="935"/>
      <c r="AM50" s="935"/>
      <c r="AN50" s="935"/>
      <c r="AO50" s="935"/>
      <c r="AP50" s="935"/>
      <c r="AQ50" s="935"/>
      <c r="AR50" s="935"/>
      <c r="AS50" s="935"/>
      <c r="AT50" s="935"/>
      <c r="AU50" s="935"/>
      <c r="AV50" s="935"/>
      <c r="AW50" s="935"/>
      <c r="AX50" s="935"/>
      <c r="AY50" s="935"/>
      <c r="AZ50" s="935"/>
      <c r="BA50" s="935"/>
      <c r="BB50" s="935"/>
      <c r="BC50" s="935"/>
      <c r="BD50" s="935"/>
      <c r="BE50" s="935"/>
      <c r="BF50" s="935"/>
      <c r="BG50" s="935"/>
      <c r="BH50" s="935"/>
      <c r="BI50" s="935"/>
      <c r="BJ50" s="935"/>
      <c r="BK50" s="935"/>
      <c r="BL50" s="935"/>
      <c r="BM50" s="935"/>
      <c r="BN50" s="935"/>
      <c r="BO50" s="935"/>
      <c r="BP50" s="935"/>
      <c r="BQ50" s="935"/>
      <c r="BR50" s="935"/>
      <c r="BS50" s="935"/>
      <c r="BT50" s="935"/>
    </row>
    <row r="51" spans="1:72" x14ac:dyDescent="0.25">
      <c r="B51" s="955"/>
      <c r="C51" s="953"/>
      <c r="D51" s="953"/>
      <c r="E51" s="953"/>
      <c r="F51" s="953"/>
      <c r="G51" s="953"/>
      <c r="H51" s="953"/>
      <c r="I51" s="953"/>
      <c r="J51" s="953"/>
      <c r="K51" s="954"/>
      <c r="L51" s="935"/>
      <c r="M51" s="935"/>
      <c r="N51" s="935"/>
      <c r="O51" s="935"/>
      <c r="P51" s="935"/>
      <c r="Q51" s="935"/>
      <c r="R51" s="935"/>
      <c r="S51" s="935"/>
      <c r="T51" s="935"/>
      <c r="U51" s="935"/>
      <c r="V51" s="935"/>
      <c r="W51" s="935"/>
      <c r="X51" s="935"/>
      <c r="Y51" s="935"/>
      <c r="Z51" s="935"/>
      <c r="AA51" s="935"/>
      <c r="AB51" s="935"/>
      <c r="AC51" s="935"/>
      <c r="AD51" s="935"/>
      <c r="AE51" s="935"/>
      <c r="AF51" s="935"/>
      <c r="AG51" s="935"/>
      <c r="AH51" s="935"/>
      <c r="AI51" s="935"/>
      <c r="AJ51" s="935"/>
      <c r="AK51" s="935"/>
      <c r="AL51" s="935"/>
      <c r="AM51" s="935"/>
      <c r="AN51" s="935"/>
      <c r="AO51" s="935"/>
      <c r="AP51" s="935"/>
      <c r="AQ51" s="935"/>
      <c r="AR51" s="935"/>
      <c r="AS51" s="935"/>
      <c r="AT51" s="935"/>
      <c r="AU51" s="935"/>
      <c r="AV51" s="935"/>
      <c r="AW51" s="935"/>
      <c r="AX51" s="935"/>
      <c r="AY51" s="935"/>
      <c r="AZ51" s="935"/>
      <c r="BA51" s="935"/>
      <c r="BB51" s="935"/>
      <c r="BC51" s="935"/>
      <c r="BD51" s="935"/>
      <c r="BE51" s="935"/>
      <c r="BF51" s="935"/>
      <c r="BG51" s="935"/>
      <c r="BH51" s="935"/>
      <c r="BI51" s="935"/>
      <c r="BJ51" s="935"/>
      <c r="BK51" s="935"/>
      <c r="BL51" s="935"/>
      <c r="BM51" s="935"/>
      <c r="BN51" s="935"/>
      <c r="BO51" s="935"/>
      <c r="BP51" s="935"/>
      <c r="BQ51" s="935"/>
      <c r="BR51" s="935"/>
      <c r="BS51" s="935"/>
      <c r="BT51" s="935"/>
    </row>
    <row r="52" spans="1:72" x14ac:dyDescent="0.25">
      <c r="A52" s="952" t="s">
        <v>762</v>
      </c>
      <c r="B52" s="953"/>
      <c r="C52" s="953"/>
      <c r="D52" s="953"/>
      <c r="E52" s="953"/>
      <c r="F52" s="953"/>
      <c r="G52" s="953"/>
      <c r="H52" s="953"/>
      <c r="I52" s="953"/>
      <c r="J52" s="953"/>
      <c r="K52" s="954"/>
      <c r="L52" s="935"/>
      <c r="M52" s="935"/>
      <c r="N52" s="935"/>
      <c r="O52" s="935"/>
      <c r="P52" s="935"/>
      <c r="Q52" s="935"/>
      <c r="R52" s="935"/>
      <c r="S52" s="935"/>
      <c r="T52" s="935"/>
      <c r="U52" s="935"/>
      <c r="V52" s="935"/>
      <c r="W52" s="935"/>
      <c r="X52" s="935"/>
      <c r="Y52" s="935"/>
      <c r="Z52" s="935"/>
      <c r="AA52" s="935"/>
      <c r="AB52" s="935"/>
      <c r="AC52" s="935"/>
      <c r="AD52" s="935"/>
      <c r="AE52" s="935"/>
      <c r="AF52" s="935"/>
      <c r="AG52" s="935"/>
      <c r="AH52" s="935"/>
      <c r="AI52" s="935"/>
      <c r="AJ52" s="935"/>
      <c r="AK52" s="935"/>
      <c r="AL52" s="935"/>
      <c r="AM52" s="935"/>
      <c r="AN52" s="935"/>
      <c r="AO52" s="935"/>
      <c r="AP52" s="935"/>
      <c r="AQ52" s="935"/>
      <c r="AR52" s="935"/>
      <c r="AS52" s="935"/>
      <c r="AT52" s="935"/>
      <c r="AU52" s="935"/>
      <c r="AV52" s="935"/>
      <c r="AW52" s="935"/>
      <c r="AX52" s="935"/>
      <c r="AY52" s="935"/>
      <c r="AZ52" s="935"/>
      <c r="BA52" s="935"/>
      <c r="BB52" s="935"/>
      <c r="BC52" s="935"/>
      <c r="BD52" s="935"/>
      <c r="BE52" s="935"/>
      <c r="BF52" s="935"/>
      <c r="BG52" s="935"/>
      <c r="BH52" s="935"/>
      <c r="BI52" s="935"/>
      <c r="BJ52" s="935"/>
      <c r="BK52" s="935"/>
      <c r="BL52" s="935"/>
      <c r="BM52" s="935"/>
      <c r="BN52" s="935"/>
      <c r="BO52" s="935"/>
      <c r="BP52" s="935"/>
      <c r="BQ52" s="935"/>
      <c r="BR52" s="935"/>
      <c r="BS52" s="935"/>
      <c r="BT52" s="935"/>
    </row>
    <row r="53" spans="1:72" x14ac:dyDescent="0.25">
      <c r="A53" s="1676" t="s">
        <v>763</v>
      </c>
      <c r="B53" s="1659"/>
      <c r="C53" s="1659"/>
      <c r="D53" s="1659"/>
      <c r="E53" s="1659"/>
      <c r="F53" s="1659"/>
      <c r="G53" s="1659"/>
      <c r="H53" s="1659"/>
      <c r="I53" s="1659"/>
      <c r="J53" s="1659"/>
      <c r="K53" s="1677"/>
      <c r="L53" s="935"/>
      <c r="M53" s="935"/>
      <c r="N53" s="935"/>
      <c r="O53" s="935"/>
      <c r="P53" s="935"/>
      <c r="Q53" s="935"/>
      <c r="R53" s="935"/>
      <c r="S53" s="935"/>
      <c r="T53" s="935"/>
      <c r="U53" s="935"/>
      <c r="V53" s="935"/>
      <c r="W53" s="935"/>
      <c r="X53" s="935"/>
      <c r="Y53" s="935"/>
      <c r="Z53" s="935"/>
      <c r="AA53" s="935"/>
      <c r="AB53" s="935"/>
      <c r="AC53" s="935"/>
      <c r="AD53" s="935"/>
      <c r="AE53" s="935"/>
      <c r="AF53" s="935"/>
      <c r="AG53" s="935"/>
      <c r="AH53" s="935"/>
      <c r="AI53" s="935"/>
      <c r="AJ53" s="935"/>
      <c r="AK53" s="935"/>
      <c r="AL53" s="935"/>
      <c r="AM53" s="935"/>
      <c r="AN53" s="935"/>
      <c r="AO53" s="935"/>
      <c r="AP53" s="935"/>
      <c r="AQ53" s="935"/>
      <c r="AR53" s="935"/>
      <c r="AS53" s="935"/>
      <c r="AT53" s="935"/>
      <c r="AU53" s="935"/>
      <c r="AV53" s="935"/>
      <c r="AW53" s="935"/>
      <c r="AX53" s="935"/>
      <c r="AY53" s="935"/>
      <c r="AZ53" s="935"/>
      <c r="BA53" s="935"/>
      <c r="BB53" s="935"/>
      <c r="BC53" s="935"/>
      <c r="BD53" s="935"/>
      <c r="BE53" s="935"/>
      <c r="BF53" s="935"/>
      <c r="BG53" s="935"/>
      <c r="BH53" s="935"/>
      <c r="BI53" s="935"/>
      <c r="BJ53" s="935"/>
      <c r="BK53" s="935"/>
      <c r="BL53" s="935"/>
      <c r="BM53" s="935"/>
      <c r="BN53" s="935"/>
      <c r="BO53" s="935"/>
      <c r="BP53" s="935"/>
      <c r="BQ53" s="935"/>
      <c r="BR53" s="935"/>
      <c r="BS53" s="935"/>
      <c r="BT53" s="935"/>
    </row>
    <row r="54" spans="1:72" x14ac:dyDescent="0.25">
      <c r="A54" s="1678" t="s">
        <v>320</v>
      </c>
      <c r="B54" s="1679"/>
      <c r="C54" s="1679"/>
      <c r="D54" s="1679"/>
      <c r="E54" s="1679"/>
      <c r="F54" s="1679"/>
      <c r="G54" s="1679"/>
      <c r="H54" s="1679"/>
      <c r="I54" s="1679"/>
      <c r="J54" s="1679"/>
      <c r="K54" s="1680"/>
      <c r="L54" s="935"/>
      <c r="M54" s="935"/>
      <c r="N54" s="935"/>
      <c r="O54" s="935"/>
      <c r="P54" s="935"/>
      <c r="Q54" s="935"/>
      <c r="R54" s="935"/>
      <c r="S54" s="935"/>
      <c r="T54" s="935"/>
      <c r="U54" s="935"/>
      <c r="V54" s="935"/>
      <c r="W54" s="935"/>
      <c r="X54" s="935"/>
      <c r="Y54" s="935"/>
      <c r="Z54" s="935"/>
      <c r="AA54" s="935"/>
      <c r="AB54" s="935"/>
      <c r="AC54" s="935"/>
      <c r="AD54" s="935"/>
      <c r="AE54" s="935"/>
      <c r="AF54" s="935"/>
      <c r="AG54" s="935"/>
      <c r="AH54" s="935"/>
      <c r="AI54" s="935"/>
      <c r="AJ54" s="935"/>
      <c r="AK54" s="935"/>
      <c r="AL54" s="935"/>
      <c r="AM54" s="935"/>
      <c r="AN54" s="935"/>
      <c r="AO54" s="935"/>
      <c r="AP54" s="935"/>
      <c r="AQ54" s="935"/>
      <c r="AR54" s="935"/>
      <c r="AS54" s="935"/>
      <c r="AT54" s="935"/>
      <c r="AU54" s="935"/>
      <c r="AV54" s="935"/>
      <c r="AW54" s="935"/>
      <c r="AX54" s="935"/>
      <c r="AY54" s="935"/>
      <c r="AZ54" s="935"/>
      <c r="BA54" s="935"/>
      <c r="BB54" s="935"/>
      <c r="BC54" s="935"/>
      <c r="BD54" s="935"/>
      <c r="BE54" s="935"/>
      <c r="BF54" s="935"/>
      <c r="BG54" s="935"/>
      <c r="BH54" s="935"/>
      <c r="BI54" s="935"/>
      <c r="BJ54" s="935"/>
      <c r="BK54" s="935"/>
      <c r="BL54" s="935"/>
      <c r="BM54" s="935"/>
      <c r="BN54" s="935"/>
      <c r="BO54" s="935"/>
      <c r="BP54" s="935"/>
      <c r="BQ54" s="935"/>
      <c r="BR54" s="935"/>
      <c r="BS54" s="935"/>
      <c r="BT54" s="935"/>
    </row>
    <row r="55" spans="1:72" x14ac:dyDescent="0.25">
      <c r="A55" s="1678"/>
      <c r="B55" s="1679"/>
      <c r="C55" s="1679"/>
      <c r="D55" s="1679"/>
      <c r="E55" s="1679"/>
      <c r="F55" s="1679"/>
      <c r="G55" s="1679"/>
      <c r="H55" s="1679"/>
      <c r="I55" s="1679"/>
      <c r="J55" s="1679"/>
      <c r="K55" s="1680"/>
      <c r="L55" s="935"/>
      <c r="M55" s="935"/>
      <c r="N55" s="935"/>
      <c r="O55" s="935"/>
      <c r="P55" s="935"/>
      <c r="Q55" s="935"/>
      <c r="R55" s="935"/>
      <c r="S55" s="935"/>
      <c r="T55" s="935"/>
      <c r="U55" s="935"/>
      <c r="V55" s="935"/>
      <c r="W55" s="935"/>
      <c r="X55" s="935"/>
      <c r="Y55" s="935"/>
      <c r="Z55" s="935"/>
      <c r="AA55" s="935"/>
      <c r="AB55" s="935"/>
      <c r="AC55" s="935"/>
      <c r="AD55" s="935"/>
      <c r="AE55" s="935"/>
      <c r="AF55" s="935"/>
      <c r="AG55" s="935"/>
      <c r="AH55" s="935"/>
      <c r="AI55" s="935"/>
      <c r="AJ55" s="935"/>
      <c r="AK55" s="935"/>
      <c r="AL55" s="935"/>
      <c r="AM55" s="935"/>
      <c r="AN55" s="935"/>
      <c r="AO55" s="935"/>
      <c r="AP55" s="935"/>
      <c r="AQ55" s="935"/>
      <c r="AR55" s="935"/>
      <c r="AS55" s="935"/>
      <c r="AT55" s="935"/>
      <c r="AU55" s="935"/>
      <c r="AV55" s="935"/>
      <c r="AW55" s="935"/>
      <c r="AX55" s="935"/>
      <c r="AY55" s="935"/>
      <c r="AZ55" s="935"/>
      <c r="BA55" s="935"/>
      <c r="BB55" s="935"/>
      <c r="BC55" s="935"/>
      <c r="BD55" s="935"/>
      <c r="BE55" s="935"/>
      <c r="BF55" s="935"/>
      <c r="BG55" s="935"/>
      <c r="BH55" s="935"/>
      <c r="BI55" s="935"/>
      <c r="BJ55" s="935"/>
      <c r="BK55" s="935"/>
      <c r="BL55" s="935"/>
      <c r="BM55" s="935"/>
      <c r="BN55" s="935"/>
      <c r="BO55" s="935"/>
      <c r="BP55" s="935"/>
      <c r="BQ55" s="935"/>
      <c r="BR55" s="935"/>
      <c r="BS55" s="935"/>
      <c r="BT55" s="935"/>
    </row>
    <row r="56" spans="1:72" ht="13" thickBot="1" x14ac:dyDescent="0.3">
      <c r="A56" s="1669" t="s">
        <v>764</v>
      </c>
      <c r="B56" s="1670"/>
      <c r="C56" s="1670"/>
      <c r="D56" s="1670"/>
      <c r="E56" s="1670"/>
      <c r="F56" s="1670"/>
      <c r="G56" s="1670"/>
      <c r="H56" s="1670"/>
      <c r="I56" s="1670"/>
      <c r="J56" s="1670"/>
      <c r="K56" s="1671"/>
      <c r="L56" s="935"/>
      <c r="M56" s="935"/>
      <c r="N56" s="935"/>
      <c r="O56" s="935"/>
      <c r="P56" s="935"/>
      <c r="Q56" s="935"/>
      <c r="R56" s="935"/>
      <c r="S56" s="935"/>
      <c r="T56" s="935"/>
      <c r="U56" s="935"/>
      <c r="V56" s="935"/>
      <c r="W56" s="935"/>
      <c r="X56" s="935"/>
      <c r="Y56" s="935"/>
      <c r="Z56" s="935"/>
      <c r="AA56" s="935"/>
      <c r="AB56" s="935"/>
      <c r="AC56" s="935"/>
      <c r="AD56" s="935"/>
      <c r="AE56" s="935"/>
      <c r="AF56" s="935"/>
      <c r="AG56" s="935"/>
      <c r="AH56" s="935"/>
      <c r="AI56" s="935"/>
      <c r="AJ56" s="935"/>
      <c r="AK56" s="935"/>
      <c r="AL56" s="935"/>
      <c r="AM56" s="935"/>
      <c r="AN56" s="935"/>
      <c r="AO56" s="935"/>
      <c r="AP56" s="935"/>
      <c r="AQ56" s="935"/>
      <c r="AR56" s="935"/>
      <c r="AS56" s="935"/>
      <c r="AT56" s="935"/>
      <c r="AU56" s="935"/>
      <c r="AV56" s="935"/>
      <c r="AW56" s="935"/>
      <c r="AX56" s="935"/>
      <c r="AY56" s="935"/>
      <c r="AZ56" s="935"/>
      <c r="BA56" s="935"/>
      <c r="BB56" s="935"/>
      <c r="BC56" s="935"/>
      <c r="BD56" s="935"/>
      <c r="BE56" s="935"/>
      <c r="BF56" s="935"/>
      <c r="BG56" s="935"/>
      <c r="BH56" s="935"/>
      <c r="BI56" s="935"/>
      <c r="BJ56" s="935"/>
      <c r="BK56" s="935"/>
      <c r="BL56" s="935"/>
      <c r="BM56" s="935"/>
      <c r="BN56" s="935"/>
      <c r="BO56" s="935"/>
      <c r="BP56" s="935"/>
      <c r="BQ56" s="935"/>
      <c r="BR56" s="935"/>
      <c r="BS56" s="935"/>
      <c r="BT56" s="935"/>
    </row>
    <row r="57" spans="1:72" x14ac:dyDescent="0.25">
      <c r="A57" s="951"/>
      <c r="B57" s="951"/>
      <c r="C57" s="951"/>
      <c r="D57" s="951"/>
      <c r="E57" s="951"/>
      <c r="F57" s="951"/>
      <c r="G57" s="951"/>
      <c r="H57" s="951"/>
      <c r="I57" s="951"/>
      <c r="J57" s="951"/>
      <c r="K57" s="951"/>
      <c r="L57" s="935"/>
      <c r="M57" s="935"/>
      <c r="N57" s="935"/>
      <c r="O57" s="935"/>
      <c r="P57" s="935"/>
      <c r="Q57" s="935"/>
      <c r="R57" s="935"/>
      <c r="S57" s="935"/>
      <c r="T57" s="935"/>
      <c r="U57" s="935"/>
      <c r="V57" s="935"/>
      <c r="W57" s="935"/>
      <c r="X57" s="935"/>
      <c r="Y57" s="935"/>
      <c r="Z57" s="935"/>
      <c r="AA57" s="935"/>
      <c r="AB57" s="935"/>
      <c r="AC57" s="935"/>
      <c r="AD57" s="935"/>
      <c r="AE57" s="935"/>
      <c r="AF57" s="935"/>
      <c r="AG57" s="935"/>
      <c r="AH57" s="935"/>
      <c r="AI57" s="935"/>
      <c r="AJ57" s="935"/>
      <c r="AK57" s="935"/>
      <c r="AL57" s="935"/>
      <c r="AM57" s="935"/>
      <c r="AN57" s="935"/>
      <c r="AO57" s="935"/>
      <c r="AP57" s="935"/>
      <c r="AQ57" s="935"/>
      <c r="AR57" s="935"/>
      <c r="AS57" s="935"/>
      <c r="AT57" s="935"/>
      <c r="AU57" s="935"/>
      <c r="AV57" s="935"/>
      <c r="AW57" s="935"/>
      <c r="AX57" s="935"/>
      <c r="AY57" s="935"/>
      <c r="AZ57" s="935"/>
      <c r="BA57" s="935"/>
      <c r="BB57" s="935"/>
      <c r="BC57" s="935"/>
      <c r="BD57" s="935"/>
      <c r="BE57" s="935"/>
      <c r="BF57" s="935"/>
      <c r="BG57" s="935"/>
      <c r="BH57" s="935"/>
      <c r="BI57" s="935"/>
      <c r="BJ57" s="935"/>
      <c r="BK57" s="935"/>
      <c r="BL57" s="935"/>
      <c r="BM57" s="935"/>
      <c r="BN57" s="935"/>
      <c r="BO57" s="935"/>
      <c r="BP57" s="935"/>
      <c r="BQ57" s="935"/>
      <c r="BR57" s="935"/>
      <c r="BS57" s="935"/>
      <c r="BT57" s="935"/>
    </row>
    <row r="58" spans="1:72" x14ac:dyDescent="0.25">
      <c r="A58" s="935" t="s">
        <v>767</v>
      </c>
      <c r="B58" s="935"/>
      <c r="C58" s="935"/>
      <c r="D58" s="935"/>
      <c r="E58" s="935"/>
      <c r="F58" s="935"/>
      <c r="G58" s="935"/>
      <c r="H58" s="935"/>
      <c r="I58" s="935"/>
      <c r="J58" s="935"/>
      <c r="K58" s="935"/>
      <c r="L58" s="935"/>
      <c r="M58" s="935"/>
      <c r="N58" s="935"/>
      <c r="O58" s="935"/>
      <c r="P58" s="935"/>
      <c r="Q58" s="935"/>
      <c r="R58" s="935"/>
      <c r="S58" s="935"/>
      <c r="T58" s="935"/>
      <c r="U58" s="935"/>
      <c r="V58" s="935"/>
      <c r="W58" s="935"/>
      <c r="X58" s="935"/>
      <c r="Y58" s="935"/>
      <c r="Z58" s="935"/>
      <c r="AA58" s="935"/>
      <c r="AB58" s="935"/>
      <c r="AC58" s="935"/>
      <c r="AD58" s="935"/>
      <c r="AE58" s="935"/>
      <c r="AF58" s="935"/>
      <c r="AG58" s="935"/>
      <c r="AH58" s="935"/>
      <c r="AI58" s="935"/>
      <c r="AJ58" s="935"/>
      <c r="AK58" s="935"/>
      <c r="AL58" s="935"/>
      <c r="AM58" s="935"/>
      <c r="AN58" s="935"/>
      <c r="AO58" s="935"/>
      <c r="AP58" s="935"/>
      <c r="AQ58" s="935"/>
      <c r="AR58" s="935"/>
      <c r="AS58" s="935"/>
      <c r="AT58" s="935"/>
      <c r="AU58" s="935"/>
      <c r="AV58" s="935"/>
      <c r="AW58" s="935"/>
      <c r="AX58" s="935"/>
      <c r="AY58" s="935"/>
      <c r="AZ58" s="935"/>
      <c r="BA58" s="935"/>
      <c r="BB58" s="935"/>
      <c r="BC58" s="935"/>
      <c r="BD58" s="935"/>
      <c r="BE58" s="935"/>
      <c r="BF58" s="935"/>
      <c r="BG58" s="935"/>
      <c r="BH58" s="935"/>
      <c r="BI58" s="935"/>
      <c r="BJ58" s="935"/>
      <c r="BK58" s="935"/>
      <c r="BL58" s="935"/>
      <c r="BM58" s="935"/>
      <c r="BN58" s="935"/>
      <c r="BO58" s="935"/>
      <c r="BP58" s="935"/>
      <c r="BQ58" s="935"/>
      <c r="BR58" s="935"/>
      <c r="BS58" s="935"/>
      <c r="BT58" s="935"/>
    </row>
    <row r="59" spans="1:72" x14ac:dyDescent="0.25">
      <c r="A59" s="935" t="s">
        <v>766</v>
      </c>
      <c r="B59" s="935">
        <v>19022</v>
      </c>
      <c r="C59" s="935"/>
      <c r="D59" s="935"/>
      <c r="E59" s="935"/>
      <c r="F59" s="935"/>
      <c r="G59" s="935"/>
      <c r="H59" s="935"/>
      <c r="I59" s="935"/>
      <c r="J59" s="935"/>
      <c r="K59" s="935"/>
      <c r="L59" s="935"/>
      <c r="M59" s="935"/>
      <c r="N59" s="935"/>
      <c r="O59" s="935"/>
      <c r="P59" s="935"/>
      <c r="Q59" s="935"/>
      <c r="R59" s="935"/>
      <c r="S59" s="935"/>
      <c r="T59" s="935"/>
      <c r="U59" s="935"/>
      <c r="V59" s="935"/>
      <c r="W59" s="935"/>
      <c r="X59" s="935"/>
      <c r="Y59" s="935"/>
      <c r="Z59" s="935"/>
      <c r="AA59" s="935"/>
      <c r="AB59" s="935"/>
      <c r="AC59" s="935"/>
      <c r="AD59" s="935"/>
      <c r="AE59" s="935"/>
      <c r="AF59" s="935"/>
      <c r="AG59" s="935"/>
      <c r="AH59" s="935"/>
      <c r="AI59" s="935"/>
      <c r="AJ59" s="935"/>
      <c r="AK59" s="935"/>
      <c r="AL59" s="935"/>
      <c r="AM59" s="935"/>
      <c r="AN59" s="935"/>
      <c r="AO59" s="935"/>
      <c r="AP59" s="935"/>
      <c r="AQ59" s="935"/>
      <c r="AR59" s="935"/>
      <c r="AS59" s="935"/>
      <c r="AT59" s="935"/>
      <c r="AU59" s="935"/>
      <c r="AV59" s="935"/>
      <c r="AW59" s="935"/>
      <c r="AX59" s="935"/>
      <c r="AY59" s="935"/>
      <c r="AZ59" s="935"/>
      <c r="BA59" s="935"/>
      <c r="BB59" s="935"/>
      <c r="BC59" s="935"/>
      <c r="BD59" s="935"/>
      <c r="BE59" s="935"/>
      <c r="BF59" s="935"/>
      <c r="BG59" s="935"/>
      <c r="BH59" s="935"/>
      <c r="BI59" s="935"/>
      <c r="BJ59" s="935"/>
      <c r="BK59" s="935"/>
      <c r="BL59" s="935"/>
      <c r="BM59" s="935"/>
      <c r="BN59" s="935"/>
      <c r="BO59" s="935"/>
      <c r="BP59" s="935"/>
      <c r="BQ59" s="935"/>
      <c r="BR59" s="935"/>
      <c r="BS59" s="935"/>
      <c r="BT59" s="935"/>
    </row>
    <row r="60" spans="1:72" x14ac:dyDescent="0.25">
      <c r="A60" s="935" t="s">
        <v>765</v>
      </c>
      <c r="B60" s="935">
        <v>17700</v>
      </c>
      <c r="C60" s="935"/>
      <c r="D60" s="935"/>
      <c r="E60" s="935"/>
      <c r="F60" s="935"/>
      <c r="G60" s="935"/>
      <c r="H60" s="935"/>
      <c r="I60" s="935"/>
      <c r="J60" s="935"/>
      <c r="K60" s="935"/>
      <c r="L60" s="935"/>
      <c r="M60" s="935"/>
      <c r="N60" s="935"/>
      <c r="O60" s="935"/>
      <c r="P60" s="935"/>
      <c r="Q60" s="935"/>
      <c r="R60" s="935"/>
      <c r="S60" s="935"/>
      <c r="T60" s="935"/>
      <c r="U60" s="935"/>
      <c r="V60" s="935"/>
      <c r="W60" s="935"/>
      <c r="X60" s="935"/>
      <c r="Y60" s="935"/>
      <c r="Z60" s="935"/>
      <c r="AA60" s="935"/>
      <c r="AB60" s="935"/>
      <c r="AC60" s="935"/>
      <c r="AD60" s="935"/>
      <c r="AE60" s="935"/>
      <c r="AF60" s="935"/>
      <c r="AG60" s="935"/>
      <c r="AH60" s="935"/>
      <c r="AI60" s="935"/>
      <c r="AJ60" s="935"/>
      <c r="AK60" s="935"/>
      <c r="AL60" s="935"/>
      <c r="AM60" s="935"/>
      <c r="AN60" s="935"/>
      <c r="AO60" s="935"/>
      <c r="AP60" s="935"/>
      <c r="AQ60" s="935"/>
      <c r="AR60" s="935"/>
      <c r="AS60" s="935"/>
      <c r="AT60" s="935"/>
      <c r="AU60" s="935"/>
      <c r="AV60" s="935"/>
      <c r="AW60" s="935"/>
      <c r="AX60" s="935"/>
      <c r="AY60" s="935"/>
      <c r="AZ60" s="935"/>
      <c r="BA60" s="935"/>
      <c r="BB60" s="935"/>
      <c r="BC60" s="935"/>
      <c r="BD60" s="935"/>
      <c r="BE60" s="935"/>
      <c r="BF60" s="935"/>
      <c r="BG60" s="935"/>
      <c r="BH60" s="935"/>
      <c r="BI60" s="935"/>
      <c r="BJ60" s="935"/>
      <c r="BK60" s="935"/>
      <c r="BL60" s="935"/>
      <c r="BM60" s="935"/>
      <c r="BN60" s="935"/>
      <c r="BO60" s="935"/>
      <c r="BP60" s="935"/>
      <c r="BQ60" s="935"/>
      <c r="BR60" s="935"/>
      <c r="BS60" s="935"/>
      <c r="BT60" s="935"/>
    </row>
    <row r="61" spans="1:72" x14ac:dyDescent="0.25">
      <c r="A61" s="935" t="s">
        <v>768</v>
      </c>
      <c r="B61" s="935">
        <f>2.205/2000/B60*mmBTU_to_GJ*1000000</f>
        <v>6.5713983050847455E-2</v>
      </c>
      <c r="C61" s="935"/>
      <c r="D61" s="935"/>
      <c r="E61" s="935"/>
      <c r="F61" s="935"/>
      <c r="G61" s="935"/>
      <c r="H61" s="935"/>
      <c r="I61" s="935"/>
      <c r="J61" s="935"/>
      <c r="K61" s="935"/>
      <c r="L61" s="935"/>
      <c r="M61" s="935"/>
      <c r="N61" s="935"/>
      <c r="O61" s="935"/>
      <c r="P61" s="935"/>
      <c r="Q61" s="935"/>
      <c r="R61" s="935"/>
      <c r="S61" s="935"/>
      <c r="T61" s="935"/>
      <c r="U61" s="935"/>
      <c r="V61" s="935"/>
      <c r="W61" s="935"/>
      <c r="X61" s="935"/>
      <c r="Y61" s="935"/>
      <c r="Z61" s="935"/>
      <c r="AA61" s="935"/>
      <c r="AB61" s="935"/>
      <c r="AC61" s="935"/>
      <c r="AD61" s="935"/>
      <c r="AE61" s="935"/>
      <c r="AF61" s="935"/>
      <c r="AG61" s="935"/>
      <c r="AH61" s="935"/>
      <c r="AI61" s="935"/>
      <c r="AJ61" s="935"/>
      <c r="AK61" s="935"/>
      <c r="AL61" s="935"/>
      <c r="AM61" s="935"/>
      <c r="AN61" s="935"/>
      <c r="AO61" s="935"/>
      <c r="AP61" s="935"/>
      <c r="AQ61" s="935"/>
      <c r="AR61" s="935"/>
      <c r="AS61" s="935"/>
      <c r="AT61" s="935"/>
      <c r="AU61" s="935"/>
      <c r="AV61" s="935"/>
      <c r="AW61" s="935"/>
      <c r="AX61" s="935"/>
      <c r="AY61" s="935"/>
      <c r="AZ61" s="935"/>
      <c r="BA61" s="935"/>
      <c r="BB61" s="935"/>
      <c r="BC61" s="935"/>
      <c r="BD61" s="935"/>
      <c r="BE61" s="935"/>
      <c r="BF61" s="935"/>
      <c r="BG61" s="935"/>
      <c r="BH61" s="935"/>
      <c r="BI61" s="935"/>
      <c r="BJ61" s="935"/>
      <c r="BK61" s="935"/>
      <c r="BL61" s="935"/>
      <c r="BM61" s="935"/>
      <c r="BN61" s="935"/>
      <c r="BO61" s="935"/>
      <c r="BP61" s="935"/>
      <c r="BQ61" s="935"/>
      <c r="BR61" s="935"/>
      <c r="BS61" s="935"/>
      <c r="BT61" s="935"/>
    </row>
    <row r="62" spans="1:72" x14ac:dyDescent="0.25">
      <c r="A62" s="935"/>
      <c r="B62" s="935"/>
      <c r="C62" s="935"/>
      <c r="D62" s="935"/>
      <c r="E62" s="935"/>
      <c r="F62" s="935"/>
      <c r="G62" s="935"/>
      <c r="H62" s="935"/>
      <c r="I62" s="935"/>
      <c r="J62" s="935"/>
      <c r="K62" s="935"/>
      <c r="L62" s="935"/>
      <c r="M62" s="935"/>
      <c r="N62" s="935"/>
      <c r="O62" s="935"/>
      <c r="P62" s="935"/>
      <c r="Q62" s="935"/>
      <c r="R62" s="935"/>
      <c r="S62" s="935"/>
      <c r="T62" s="935"/>
      <c r="U62" s="935"/>
      <c r="V62" s="935"/>
      <c r="W62" s="935"/>
      <c r="X62" s="935"/>
      <c r="Y62" s="935"/>
      <c r="Z62" s="935"/>
      <c r="AA62" s="935"/>
      <c r="AB62" s="935"/>
      <c r="AC62" s="935"/>
      <c r="AD62" s="935"/>
      <c r="AE62" s="935"/>
      <c r="AF62" s="935"/>
      <c r="AG62" s="935"/>
      <c r="AH62" s="935"/>
      <c r="AI62" s="935"/>
      <c r="AJ62" s="935"/>
      <c r="AK62" s="935"/>
      <c r="AL62" s="935"/>
      <c r="AM62" s="935"/>
      <c r="AN62" s="935"/>
      <c r="AO62" s="935"/>
      <c r="AP62" s="935"/>
      <c r="AQ62" s="935"/>
      <c r="AR62" s="935"/>
      <c r="AS62" s="935"/>
      <c r="AT62" s="935"/>
      <c r="AU62" s="935"/>
      <c r="AV62" s="935"/>
      <c r="AW62" s="935"/>
      <c r="AX62" s="935"/>
      <c r="AY62" s="935"/>
      <c r="AZ62" s="935"/>
      <c r="BA62" s="935"/>
      <c r="BB62" s="935"/>
      <c r="BC62" s="935"/>
      <c r="BD62" s="935"/>
      <c r="BE62" s="935"/>
      <c r="BF62" s="935"/>
      <c r="BG62" s="935"/>
      <c r="BH62" s="935"/>
      <c r="BI62" s="935"/>
      <c r="BJ62" s="935"/>
      <c r="BK62" s="935"/>
      <c r="BL62" s="935"/>
      <c r="BM62" s="935"/>
      <c r="BN62" s="935"/>
      <c r="BO62" s="935"/>
      <c r="BP62" s="935"/>
      <c r="BQ62" s="935"/>
      <c r="BR62" s="935"/>
      <c r="BS62" s="935"/>
      <c r="BT62" s="935"/>
    </row>
    <row r="63" spans="1:72" x14ac:dyDescent="0.25">
      <c r="A63" s="935"/>
      <c r="B63" s="935"/>
      <c r="C63" s="935"/>
      <c r="D63" s="935"/>
      <c r="E63" s="935"/>
      <c r="F63" s="935"/>
      <c r="G63" s="935"/>
      <c r="H63" s="935"/>
      <c r="I63" s="935"/>
      <c r="J63" s="935"/>
      <c r="K63" s="935"/>
      <c r="L63" s="935"/>
      <c r="M63" s="935"/>
      <c r="N63" s="935"/>
      <c r="O63" s="935"/>
      <c r="P63" s="935"/>
      <c r="Q63" s="935"/>
      <c r="R63" s="935"/>
      <c r="S63" s="935"/>
      <c r="T63" s="935"/>
      <c r="U63" s="935"/>
      <c r="V63" s="935"/>
      <c r="W63" s="935"/>
      <c r="X63" s="935"/>
      <c r="Y63" s="935"/>
      <c r="Z63" s="935"/>
      <c r="AA63" s="935"/>
      <c r="AB63" s="935"/>
      <c r="AC63" s="935"/>
      <c r="AD63" s="935"/>
      <c r="AE63" s="935"/>
      <c r="AF63" s="935"/>
      <c r="AG63" s="935"/>
      <c r="AH63" s="935"/>
      <c r="AI63" s="935"/>
      <c r="AJ63" s="935"/>
      <c r="AK63" s="935"/>
      <c r="AL63" s="935"/>
      <c r="AM63" s="935"/>
      <c r="AN63" s="935"/>
      <c r="AO63" s="935"/>
      <c r="AP63" s="935"/>
      <c r="AQ63" s="935"/>
      <c r="AR63" s="935"/>
      <c r="AS63" s="935"/>
      <c r="AT63" s="935"/>
      <c r="AU63" s="935"/>
      <c r="AV63" s="935"/>
      <c r="AW63" s="935"/>
      <c r="AX63" s="935"/>
      <c r="AY63" s="935"/>
      <c r="AZ63" s="935"/>
      <c r="BA63" s="935"/>
      <c r="BB63" s="935"/>
      <c r="BC63" s="935"/>
      <c r="BD63" s="935"/>
      <c r="BE63" s="935"/>
      <c r="BF63" s="935"/>
      <c r="BG63" s="935"/>
      <c r="BH63" s="935"/>
      <c r="BI63" s="935"/>
      <c r="BJ63" s="935"/>
      <c r="BK63" s="935"/>
      <c r="BL63" s="935"/>
      <c r="BM63" s="935"/>
      <c r="BN63" s="935"/>
      <c r="BO63" s="935"/>
      <c r="BP63" s="935"/>
      <c r="BQ63" s="935"/>
      <c r="BR63" s="935"/>
      <c r="BS63" s="935"/>
      <c r="BT63" s="935"/>
    </row>
    <row r="64" spans="1:72" x14ac:dyDescent="0.25">
      <c r="A64" s="935"/>
      <c r="B64" s="935" t="s">
        <v>774</v>
      </c>
      <c r="C64" s="935" t="s">
        <v>775</v>
      </c>
      <c r="D64" s="935"/>
      <c r="E64" s="935"/>
      <c r="F64" s="935"/>
      <c r="G64" s="935"/>
      <c r="H64" s="935"/>
      <c r="I64" s="935"/>
      <c r="J64" s="935"/>
      <c r="K64" s="935"/>
      <c r="L64" s="935"/>
      <c r="M64" s="935"/>
      <c r="N64" s="935"/>
      <c r="O64" s="935"/>
      <c r="P64" s="935"/>
      <c r="Q64" s="935"/>
      <c r="R64" s="935"/>
      <c r="S64" s="935"/>
      <c r="T64" s="935"/>
      <c r="U64" s="935"/>
      <c r="V64" s="935"/>
      <c r="W64" s="935"/>
      <c r="X64" s="935"/>
      <c r="Y64" s="935"/>
      <c r="Z64" s="935"/>
      <c r="AA64" s="935"/>
      <c r="AB64" s="935"/>
      <c r="AC64" s="935"/>
      <c r="AD64" s="935"/>
      <c r="AE64" s="935"/>
      <c r="AF64" s="935"/>
      <c r="AG64" s="935"/>
      <c r="AH64" s="935"/>
      <c r="AI64" s="935"/>
      <c r="AJ64" s="935"/>
      <c r="AK64" s="935"/>
      <c r="AL64" s="935"/>
      <c r="AM64" s="935"/>
      <c r="AN64" s="935"/>
      <c r="AO64" s="935"/>
      <c r="AP64" s="935"/>
      <c r="AQ64" s="935"/>
      <c r="AR64" s="935"/>
      <c r="AS64" s="935"/>
      <c r="AT64" s="935"/>
      <c r="AU64" s="935"/>
      <c r="AV64" s="935"/>
      <c r="AW64" s="935"/>
      <c r="AX64" s="935"/>
      <c r="AY64" s="935"/>
      <c r="AZ64" s="935"/>
      <c r="BA64" s="935"/>
      <c r="BB64" s="935"/>
      <c r="BC64" s="935"/>
      <c r="BD64" s="935"/>
      <c r="BE64" s="935"/>
      <c r="BF64" s="935"/>
      <c r="BG64" s="935"/>
      <c r="BH64" s="935"/>
      <c r="BI64" s="935"/>
      <c r="BJ64" s="935"/>
      <c r="BK64" s="935"/>
      <c r="BL64" s="935"/>
      <c r="BM64" s="935"/>
      <c r="BN64" s="935"/>
      <c r="BO64" s="935"/>
      <c r="BP64" s="935"/>
      <c r="BQ64" s="935"/>
      <c r="BR64" s="935"/>
      <c r="BS64" s="935"/>
      <c r="BT64" s="935"/>
    </row>
    <row r="65" spans="1:72" x14ac:dyDescent="0.25">
      <c r="A65" s="935"/>
      <c r="B65" s="935" t="s">
        <v>776</v>
      </c>
      <c r="C65" s="935" t="s">
        <v>777</v>
      </c>
      <c r="D65" s="935"/>
      <c r="E65" s="935"/>
      <c r="F65" s="935" t="s">
        <v>778</v>
      </c>
      <c r="G65" s="935"/>
      <c r="H65" s="935"/>
      <c r="I65" s="935"/>
      <c r="J65" s="935"/>
      <c r="K65" s="935"/>
      <c r="L65" s="935"/>
      <c r="M65" s="935"/>
      <c r="N65" s="935"/>
      <c r="O65" s="935"/>
      <c r="P65" s="935"/>
      <c r="Q65" s="935"/>
      <c r="R65" s="935"/>
      <c r="S65" s="935"/>
      <c r="T65" s="935"/>
      <c r="U65" s="935"/>
      <c r="V65" s="935"/>
      <c r="W65" s="935"/>
      <c r="X65" s="935"/>
      <c r="Y65" s="935"/>
      <c r="Z65" s="935"/>
      <c r="AA65" s="935"/>
      <c r="AB65" s="935"/>
      <c r="AC65" s="935"/>
      <c r="AD65" s="935"/>
      <c r="AE65" s="935"/>
      <c r="AF65" s="935"/>
      <c r="AG65" s="935"/>
      <c r="AH65" s="935"/>
      <c r="AI65" s="935"/>
      <c r="AJ65" s="935"/>
      <c r="AK65" s="935"/>
      <c r="AL65" s="935"/>
      <c r="AM65" s="935"/>
      <c r="AN65" s="935"/>
      <c r="AO65" s="935"/>
      <c r="AP65" s="935"/>
      <c r="AQ65" s="935"/>
      <c r="AR65" s="935"/>
      <c r="AS65" s="935"/>
      <c r="AT65" s="935"/>
      <c r="AU65" s="935"/>
      <c r="AV65" s="935"/>
      <c r="AW65" s="935"/>
      <c r="AX65" s="935"/>
      <c r="AY65" s="935"/>
      <c r="AZ65" s="935"/>
      <c r="BA65" s="935"/>
      <c r="BB65" s="935"/>
      <c r="BC65" s="935"/>
      <c r="BD65" s="935"/>
      <c r="BE65" s="935"/>
      <c r="BF65" s="935"/>
      <c r="BG65" s="935"/>
      <c r="BH65" s="935"/>
      <c r="BI65" s="935"/>
      <c r="BJ65" s="935"/>
      <c r="BK65" s="935"/>
      <c r="BL65" s="935"/>
      <c r="BM65" s="935"/>
      <c r="BN65" s="935"/>
      <c r="BO65" s="935"/>
      <c r="BP65" s="935"/>
      <c r="BQ65" s="935"/>
      <c r="BR65" s="935"/>
      <c r="BS65" s="935"/>
      <c r="BT65" s="935"/>
    </row>
    <row r="66" spans="1:72" x14ac:dyDescent="0.25">
      <c r="A66" s="935"/>
      <c r="B66" s="935" t="s">
        <v>779</v>
      </c>
      <c r="C66" s="935" t="s">
        <v>780</v>
      </c>
      <c r="D66" s="935"/>
      <c r="E66" s="935"/>
      <c r="F66" s="935"/>
      <c r="G66" s="935"/>
      <c r="H66" s="935"/>
      <c r="I66" s="935"/>
      <c r="J66" s="935"/>
      <c r="K66" s="935"/>
      <c r="L66" s="935"/>
      <c r="M66" s="935"/>
      <c r="N66" s="935"/>
      <c r="O66" s="935"/>
      <c r="P66" s="935"/>
      <c r="Q66" s="935"/>
      <c r="R66" s="935"/>
      <c r="S66" s="935"/>
      <c r="T66" s="935"/>
      <c r="U66" s="935"/>
      <c r="V66" s="935"/>
      <c r="W66" s="935"/>
      <c r="X66" s="935"/>
      <c r="Y66" s="935"/>
      <c r="Z66" s="935"/>
      <c r="AA66" s="935"/>
      <c r="AB66" s="935"/>
      <c r="AC66" s="935"/>
      <c r="AD66" s="935"/>
      <c r="AE66" s="935"/>
      <c r="AF66" s="935"/>
      <c r="AG66" s="935"/>
      <c r="AH66" s="935"/>
      <c r="AI66" s="935"/>
      <c r="AJ66" s="935"/>
      <c r="AK66" s="935"/>
      <c r="AL66" s="935"/>
      <c r="AM66" s="935"/>
      <c r="AN66" s="935"/>
      <c r="AO66" s="935"/>
      <c r="AP66" s="935"/>
      <c r="AQ66" s="935"/>
      <c r="AR66" s="935"/>
      <c r="AS66" s="935"/>
      <c r="AT66" s="935"/>
      <c r="AU66" s="935"/>
      <c r="AV66" s="935"/>
      <c r="AW66" s="935"/>
      <c r="AX66" s="935"/>
      <c r="AY66" s="935"/>
      <c r="AZ66" s="935"/>
      <c r="BA66" s="935"/>
      <c r="BB66" s="935"/>
      <c r="BC66" s="935"/>
      <c r="BD66" s="935"/>
      <c r="BE66" s="935"/>
      <c r="BF66" s="935"/>
      <c r="BG66" s="935"/>
      <c r="BH66" s="935"/>
      <c r="BI66" s="935"/>
      <c r="BJ66" s="935"/>
      <c r="BK66" s="935"/>
      <c r="BL66" s="935"/>
      <c r="BM66" s="935"/>
      <c r="BN66" s="935"/>
      <c r="BO66" s="935"/>
      <c r="BP66" s="935"/>
      <c r="BQ66" s="935"/>
      <c r="BR66" s="935"/>
      <c r="BS66" s="935"/>
      <c r="BT66" s="935"/>
    </row>
    <row r="67" spans="1:72" x14ac:dyDescent="0.25">
      <c r="A67" s="935"/>
      <c r="B67" s="935" t="s">
        <v>781</v>
      </c>
      <c r="C67" s="935"/>
      <c r="D67" s="935" t="s">
        <v>782</v>
      </c>
      <c r="E67" s="935"/>
      <c r="F67" s="935"/>
      <c r="G67" s="935"/>
      <c r="H67" s="935"/>
      <c r="I67" s="935"/>
      <c r="J67" s="935"/>
      <c r="K67" s="935"/>
      <c r="L67" s="935"/>
      <c r="M67" s="935"/>
      <c r="N67" s="935"/>
      <c r="O67" s="935"/>
      <c r="P67" s="935"/>
      <c r="Q67" s="935"/>
      <c r="R67" s="935"/>
      <c r="S67" s="935"/>
      <c r="T67" s="935"/>
      <c r="U67" s="935"/>
      <c r="V67" s="935"/>
      <c r="W67" s="935"/>
      <c r="X67" s="935"/>
      <c r="Y67" s="935"/>
      <c r="Z67" s="935"/>
      <c r="AA67" s="935"/>
      <c r="AB67" s="935"/>
      <c r="AC67" s="935"/>
      <c r="AD67" s="935"/>
      <c r="AE67" s="935"/>
      <c r="AF67" s="935"/>
      <c r="AG67" s="935"/>
      <c r="AH67" s="935"/>
      <c r="AI67" s="935"/>
      <c r="AJ67" s="935"/>
      <c r="AK67" s="935"/>
      <c r="AL67" s="935"/>
      <c r="AM67" s="935"/>
      <c r="AN67" s="935"/>
      <c r="AO67" s="935"/>
      <c r="AP67" s="935"/>
      <c r="AQ67" s="935"/>
      <c r="AR67" s="935"/>
      <c r="AS67" s="935"/>
      <c r="AT67" s="935"/>
      <c r="AU67" s="935"/>
      <c r="AV67" s="935"/>
      <c r="AW67" s="935"/>
      <c r="AX67" s="935"/>
      <c r="AY67" s="935"/>
      <c r="AZ67" s="935"/>
      <c r="BA67" s="935"/>
      <c r="BB67" s="935"/>
      <c r="BC67" s="935"/>
      <c r="BD67" s="935"/>
      <c r="BE67" s="935"/>
      <c r="BF67" s="935"/>
      <c r="BG67" s="935"/>
      <c r="BH67" s="935"/>
      <c r="BI67" s="935"/>
      <c r="BJ67" s="935"/>
      <c r="BK67" s="935"/>
      <c r="BL67" s="935"/>
      <c r="BM67" s="935"/>
      <c r="BN67" s="935"/>
      <c r="BO67" s="935"/>
      <c r="BP67" s="935"/>
      <c r="BQ67" s="935"/>
      <c r="BR67" s="935"/>
      <c r="BS67" s="935"/>
      <c r="BT67" s="935"/>
    </row>
    <row r="68" spans="1:72" x14ac:dyDescent="0.25">
      <c r="A68" s="935"/>
      <c r="B68" s="935"/>
      <c r="C68" s="935"/>
      <c r="D68" s="935"/>
      <c r="E68" s="935"/>
      <c r="F68" s="935"/>
      <c r="G68" s="935"/>
      <c r="H68" s="935"/>
      <c r="I68" s="935"/>
      <c r="J68" s="935"/>
      <c r="K68" s="935"/>
      <c r="L68" s="935"/>
      <c r="M68" s="935"/>
      <c r="N68" s="935"/>
      <c r="O68" s="935"/>
      <c r="P68" s="935"/>
      <c r="Q68" s="935"/>
      <c r="R68" s="935"/>
      <c r="S68" s="935"/>
      <c r="T68" s="935"/>
      <c r="U68" s="935"/>
      <c r="V68" s="935"/>
      <c r="W68" s="935"/>
      <c r="X68" s="935"/>
      <c r="Y68" s="935"/>
      <c r="Z68" s="935"/>
      <c r="AA68" s="935"/>
      <c r="AB68" s="935"/>
      <c r="AC68" s="935"/>
      <c r="AD68" s="935"/>
      <c r="AE68" s="935"/>
      <c r="AF68" s="935"/>
      <c r="AG68" s="935"/>
      <c r="AH68" s="935"/>
      <c r="AI68" s="935"/>
      <c r="AJ68" s="935"/>
      <c r="AK68" s="935"/>
      <c r="AL68" s="935"/>
      <c r="AM68" s="935"/>
      <c r="AN68" s="935"/>
      <c r="AO68" s="935"/>
      <c r="AP68" s="935"/>
      <c r="AQ68" s="935"/>
      <c r="AR68" s="935"/>
      <c r="AS68" s="935"/>
      <c r="AT68" s="935"/>
      <c r="AU68" s="935"/>
      <c r="AV68" s="935"/>
      <c r="AW68" s="935"/>
      <c r="AX68" s="935"/>
      <c r="AY68" s="935"/>
      <c r="AZ68" s="935"/>
      <c r="BA68" s="935"/>
      <c r="BB68" s="935"/>
      <c r="BC68" s="935"/>
      <c r="BD68" s="935"/>
      <c r="BE68" s="935"/>
      <c r="BF68" s="935"/>
      <c r="BG68" s="935"/>
      <c r="BH68" s="935"/>
      <c r="BI68" s="935"/>
      <c r="BJ68" s="935"/>
      <c r="BK68" s="935"/>
      <c r="BL68" s="935"/>
      <c r="BM68" s="935"/>
      <c r="BN68" s="935"/>
      <c r="BO68" s="935"/>
      <c r="BP68" s="935"/>
      <c r="BQ68" s="935"/>
      <c r="BR68" s="935"/>
      <c r="BS68" s="935"/>
      <c r="BT68" s="935"/>
    </row>
    <row r="69" spans="1:72" x14ac:dyDescent="0.25">
      <c r="A69" s="935"/>
      <c r="B69" s="935"/>
      <c r="C69" s="935"/>
      <c r="D69" s="935"/>
      <c r="E69" s="935"/>
      <c r="F69" s="935"/>
      <c r="G69" s="935"/>
      <c r="H69" s="935"/>
      <c r="I69" s="935"/>
      <c r="J69" s="935"/>
      <c r="K69" s="935"/>
      <c r="L69" s="935"/>
      <c r="M69" s="935"/>
      <c r="N69" s="935"/>
      <c r="O69" s="935"/>
      <c r="P69" s="935"/>
      <c r="Q69" s="935"/>
      <c r="R69" s="935"/>
      <c r="S69" s="935"/>
      <c r="T69" s="935"/>
      <c r="U69" s="935"/>
      <c r="V69" s="935"/>
      <c r="W69" s="935"/>
      <c r="X69" s="935"/>
      <c r="Y69" s="935"/>
      <c r="Z69" s="935"/>
      <c r="AA69" s="935"/>
      <c r="AB69" s="935"/>
      <c r="AC69" s="935"/>
      <c r="AD69" s="935"/>
      <c r="AE69" s="935"/>
      <c r="AF69" s="935"/>
      <c r="AG69" s="935"/>
      <c r="AH69" s="935"/>
      <c r="AI69" s="935"/>
      <c r="AJ69" s="935"/>
      <c r="AK69" s="935"/>
      <c r="AL69" s="935"/>
      <c r="AM69" s="935"/>
      <c r="AN69" s="935"/>
      <c r="AO69" s="935"/>
      <c r="AP69" s="935"/>
      <c r="AQ69" s="935"/>
      <c r="AR69" s="935"/>
      <c r="AS69" s="935"/>
      <c r="AT69" s="935"/>
      <c r="AU69" s="935"/>
      <c r="AV69" s="935"/>
      <c r="AW69" s="935"/>
      <c r="AX69" s="935"/>
      <c r="AY69" s="935"/>
      <c r="AZ69" s="935"/>
      <c r="BA69" s="935"/>
      <c r="BB69" s="935"/>
      <c r="BC69" s="935"/>
      <c r="BD69" s="935"/>
      <c r="BE69" s="935"/>
      <c r="BF69" s="935"/>
      <c r="BG69" s="935"/>
      <c r="BH69" s="935"/>
      <c r="BI69" s="935"/>
      <c r="BJ69" s="935"/>
      <c r="BK69" s="935"/>
      <c r="BL69" s="935"/>
      <c r="BM69" s="935"/>
      <c r="BN69" s="935"/>
      <c r="BO69" s="935"/>
      <c r="BP69" s="935"/>
      <c r="BQ69" s="935"/>
      <c r="BR69" s="935"/>
      <c r="BS69" s="935"/>
      <c r="BT69" s="935"/>
    </row>
    <row r="70" spans="1:72" x14ac:dyDescent="0.25">
      <c r="A70" s="935"/>
      <c r="B70" s="935"/>
      <c r="C70" s="935"/>
      <c r="D70" s="935"/>
      <c r="E70" s="935"/>
      <c r="F70" s="935"/>
      <c r="G70" s="935"/>
      <c r="H70" s="935"/>
      <c r="I70" s="935"/>
      <c r="J70" s="935"/>
      <c r="K70" s="935"/>
      <c r="L70" s="935"/>
      <c r="M70" s="935"/>
      <c r="N70" s="935"/>
      <c r="O70" s="935"/>
      <c r="P70" s="935"/>
      <c r="Q70" s="935"/>
      <c r="R70" s="935"/>
      <c r="S70" s="935"/>
      <c r="T70" s="935"/>
      <c r="U70" s="935"/>
      <c r="V70" s="935"/>
      <c r="W70" s="935"/>
      <c r="X70" s="935"/>
      <c r="Y70" s="935"/>
      <c r="Z70" s="935"/>
      <c r="AA70" s="935"/>
      <c r="AB70" s="935"/>
      <c r="AC70" s="935"/>
      <c r="AD70" s="935"/>
      <c r="AE70" s="935"/>
      <c r="AF70" s="935"/>
      <c r="AG70" s="935"/>
      <c r="AH70" s="935"/>
      <c r="AI70" s="935"/>
      <c r="AJ70" s="935"/>
      <c r="AK70" s="935"/>
      <c r="AL70" s="935"/>
      <c r="AM70" s="935"/>
      <c r="AN70" s="935"/>
      <c r="AO70" s="935"/>
      <c r="AP70" s="935"/>
      <c r="AQ70" s="935"/>
      <c r="AR70" s="935"/>
      <c r="AS70" s="935"/>
      <c r="AT70" s="935"/>
      <c r="AU70" s="935"/>
      <c r="AV70" s="935"/>
      <c r="AW70" s="935"/>
      <c r="AX70" s="935"/>
      <c r="AY70" s="935"/>
      <c r="AZ70" s="935"/>
      <c r="BA70" s="935"/>
      <c r="BB70" s="935"/>
      <c r="BC70" s="935"/>
      <c r="BD70" s="935"/>
      <c r="BE70" s="935"/>
      <c r="BF70" s="935"/>
      <c r="BG70" s="935"/>
      <c r="BH70" s="935"/>
      <c r="BI70" s="935"/>
      <c r="BJ70" s="935"/>
      <c r="BK70" s="935"/>
      <c r="BL70" s="935"/>
      <c r="BM70" s="935"/>
      <c r="BN70" s="935"/>
      <c r="BO70" s="935"/>
      <c r="BP70" s="935"/>
      <c r="BQ70" s="935"/>
      <c r="BR70" s="935"/>
      <c r="BS70" s="935"/>
      <c r="BT70" s="935"/>
    </row>
    <row r="71" spans="1:72" x14ac:dyDescent="0.25">
      <c r="A71" s="935"/>
      <c r="B71" s="935"/>
      <c r="C71" s="935"/>
      <c r="D71" s="935"/>
      <c r="E71" s="935"/>
      <c r="F71" s="935"/>
      <c r="G71" s="935"/>
      <c r="H71" s="935"/>
      <c r="I71" s="935"/>
      <c r="J71" s="935"/>
      <c r="K71" s="935"/>
      <c r="L71" s="935"/>
      <c r="M71" s="935"/>
      <c r="N71" s="935"/>
      <c r="O71" s="935"/>
      <c r="P71" s="935"/>
      <c r="Q71" s="935"/>
      <c r="R71" s="935"/>
      <c r="S71" s="935"/>
      <c r="T71" s="935"/>
      <c r="U71" s="935"/>
      <c r="V71" s="935"/>
      <c r="W71" s="935"/>
      <c r="X71" s="935"/>
      <c r="Y71" s="935"/>
      <c r="Z71" s="935"/>
      <c r="AA71" s="935"/>
      <c r="AB71" s="935"/>
      <c r="AC71" s="935"/>
      <c r="AD71" s="935"/>
      <c r="AE71" s="935"/>
      <c r="AF71" s="935"/>
      <c r="AG71" s="935"/>
      <c r="AH71" s="935"/>
      <c r="AI71" s="935"/>
      <c r="AJ71" s="935"/>
      <c r="AK71" s="935"/>
      <c r="AL71" s="935"/>
      <c r="AM71" s="935"/>
      <c r="AN71" s="935"/>
      <c r="AO71" s="935"/>
      <c r="AP71" s="935"/>
      <c r="AQ71" s="935"/>
      <c r="AR71" s="935"/>
      <c r="AS71" s="935"/>
      <c r="AT71" s="935"/>
      <c r="AU71" s="935"/>
      <c r="AV71" s="935"/>
      <c r="AW71" s="935"/>
      <c r="AX71" s="935"/>
      <c r="AY71" s="935"/>
      <c r="AZ71" s="935"/>
      <c r="BA71" s="935"/>
      <c r="BB71" s="935"/>
      <c r="BC71" s="935"/>
      <c r="BD71" s="935"/>
      <c r="BE71" s="935"/>
      <c r="BF71" s="935"/>
      <c r="BG71" s="935"/>
      <c r="BH71" s="935"/>
      <c r="BI71" s="935"/>
      <c r="BJ71" s="935"/>
      <c r="BK71" s="935"/>
      <c r="BL71" s="935"/>
      <c r="BM71" s="935"/>
      <c r="BN71" s="935"/>
      <c r="BO71" s="935"/>
      <c r="BP71" s="935"/>
      <c r="BQ71" s="935"/>
      <c r="BR71" s="935"/>
      <c r="BS71" s="935"/>
      <c r="BT71" s="935"/>
    </row>
    <row r="72" spans="1:72" x14ac:dyDescent="0.25">
      <c r="A72" s="935" t="s">
        <v>783</v>
      </c>
      <c r="B72" s="935"/>
      <c r="C72" s="935"/>
      <c r="D72" s="935"/>
      <c r="E72" s="935"/>
      <c r="F72" s="935"/>
      <c r="G72" s="935"/>
      <c r="H72" s="935"/>
      <c r="I72" s="935"/>
      <c r="J72" s="935"/>
      <c r="K72" s="935"/>
      <c r="L72" s="935"/>
      <c r="M72" s="935"/>
      <c r="N72" s="935"/>
      <c r="O72" s="935"/>
      <c r="P72" s="935"/>
      <c r="Q72" s="935"/>
      <c r="R72" s="935"/>
      <c r="S72" s="935"/>
      <c r="T72" s="935"/>
      <c r="U72" s="935"/>
      <c r="V72" s="935"/>
      <c r="W72" s="935"/>
      <c r="X72" s="935"/>
      <c r="Y72" s="935"/>
      <c r="Z72" s="935"/>
      <c r="AA72" s="935"/>
      <c r="AB72" s="935"/>
      <c r="AC72" s="935"/>
      <c r="AD72" s="935"/>
      <c r="AE72" s="935"/>
      <c r="AF72" s="935"/>
      <c r="AG72" s="935"/>
      <c r="AH72" s="935"/>
      <c r="AI72" s="935"/>
      <c r="AJ72" s="935"/>
      <c r="AK72" s="935"/>
      <c r="AL72" s="935"/>
      <c r="AM72" s="935"/>
      <c r="AN72" s="935"/>
      <c r="AO72" s="935"/>
      <c r="AP72" s="935"/>
      <c r="AQ72" s="935"/>
      <c r="AR72" s="935"/>
      <c r="AS72" s="935"/>
      <c r="AT72" s="935"/>
      <c r="AU72" s="935"/>
      <c r="AV72" s="935"/>
      <c r="AW72" s="935"/>
      <c r="AX72" s="935"/>
      <c r="AY72" s="935"/>
      <c r="AZ72" s="935"/>
      <c r="BA72" s="935"/>
      <c r="BB72" s="935"/>
      <c r="BC72" s="935"/>
      <c r="BD72" s="935"/>
      <c r="BE72" s="935"/>
      <c r="BF72" s="935"/>
      <c r="BG72" s="935"/>
      <c r="BH72" s="935"/>
      <c r="BI72" s="935"/>
      <c r="BJ72" s="935"/>
      <c r="BK72" s="935"/>
      <c r="BL72" s="935"/>
      <c r="BM72" s="935"/>
      <c r="BN72" s="935"/>
      <c r="BO72" s="935"/>
      <c r="BP72" s="935"/>
      <c r="BQ72" s="935"/>
      <c r="BR72" s="935"/>
      <c r="BS72" s="935"/>
      <c r="BT72" s="935"/>
    </row>
    <row r="73" spans="1:72" x14ac:dyDescent="0.25">
      <c r="A73" s="935"/>
      <c r="B73" s="935"/>
      <c r="C73" s="935"/>
      <c r="D73" s="935"/>
      <c r="E73" s="935"/>
      <c r="F73" s="935"/>
      <c r="G73" s="935"/>
      <c r="H73" s="935"/>
      <c r="I73" s="935"/>
      <c r="J73" s="935"/>
      <c r="K73" s="935"/>
      <c r="L73" s="935"/>
      <c r="M73" s="935"/>
      <c r="N73" s="935"/>
      <c r="O73" s="935"/>
      <c r="P73" s="935"/>
      <c r="Q73" s="935"/>
      <c r="R73" s="935"/>
      <c r="S73" s="935"/>
      <c r="T73" s="935"/>
      <c r="U73" s="935"/>
      <c r="V73" s="935"/>
      <c r="W73" s="935"/>
      <c r="X73" s="935"/>
      <c r="Y73" s="935"/>
      <c r="Z73" s="935"/>
      <c r="AA73" s="935"/>
      <c r="AB73" s="935"/>
      <c r="AC73" s="935"/>
      <c r="AD73" s="935"/>
      <c r="AE73" s="935"/>
      <c r="AF73" s="935"/>
      <c r="AG73" s="935"/>
      <c r="AH73" s="935"/>
      <c r="AI73" s="935"/>
      <c r="AJ73" s="935"/>
      <c r="AK73" s="935"/>
      <c r="AL73" s="935"/>
      <c r="AM73" s="935"/>
      <c r="AN73" s="935"/>
      <c r="AO73" s="935"/>
      <c r="AP73" s="935"/>
      <c r="AQ73" s="935"/>
      <c r="AR73" s="935"/>
      <c r="AS73" s="935"/>
      <c r="AT73" s="935"/>
      <c r="AU73" s="935"/>
      <c r="AV73" s="935"/>
      <c r="AW73" s="935"/>
      <c r="AX73" s="935"/>
      <c r="AY73" s="935"/>
      <c r="AZ73" s="935"/>
      <c r="BA73" s="935"/>
      <c r="BB73" s="935"/>
      <c r="BC73" s="935"/>
      <c r="BD73" s="935"/>
      <c r="BE73" s="935"/>
      <c r="BF73" s="935"/>
      <c r="BG73" s="935"/>
      <c r="BH73" s="935"/>
      <c r="BI73" s="935"/>
      <c r="BJ73" s="935"/>
      <c r="BK73" s="935"/>
      <c r="BL73" s="935"/>
      <c r="BM73" s="935"/>
      <c r="BN73" s="935"/>
      <c r="BO73" s="935"/>
      <c r="BP73" s="935"/>
      <c r="BQ73" s="935"/>
      <c r="BR73" s="935"/>
      <c r="BS73" s="935"/>
      <c r="BT73" s="935"/>
    </row>
    <row r="74" spans="1:72" x14ac:dyDescent="0.25">
      <c r="A74" s="935" t="s">
        <v>784</v>
      </c>
      <c r="B74" s="935"/>
      <c r="C74" s="935"/>
      <c r="D74" s="935"/>
      <c r="E74" s="935"/>
      <c r="F74" s="935"/>
      <c r="G74" s="935"/>
      <c r="H74" s="935"/>
      <c r="I74" s="935"/>
      <c r="J74" s="935"/>
      <c r="K74" s="935"/>
      <c r="L74" s="935"/>
      <c r="M74" s="935"/>
      <c r="N74" s="935"/>
      <c r="O74" s="935"/>
      <c r="P74" s="935"/>
      <c r="Q74" s="935"/>
      <c r="R74" s="935"/>
      <c r="S74" s="935"/>
      <c r="T74" s="935"/>
      <c r="U74" s="935"/>
      <c r="V74" s="935"/>
      <c r="W74" s="935"/>
      <c r="X74" s="935"/>
      <c r="Y74" s="935"/>
      <c r="Z74" s="935"/>
      <c r="AA74" s="935"/>
      <c r="AB74" s="935"/>
      <c r="AC74" s="935"/>
      <c r="AD74" s="935"/>
      <c r="AE74" s="935"/>
      <c r="AF74" s="935"/>
      <c r="AG74" s="935"/>
      <c r="AH74" s="935"/>
      <c r="AI74" s="935"/>
      <c r="AJ74" s="935"/>
      <c r="AK74" s="935"/>
      <c r="AL74" s="935"/>
      <c r="AM74" s="935"/>
      <c r="AN74" s="935"/>
      <c r="AO74" s="935"/>
      <c r="AP74" s="935"/>
      <c r="AQ74" s="935"/>
      <c r="AR74" s="935"/>
      <c r="AS74" s="935"/>
      <c r="AT74" s="935"/>
      <c r="AU74" s="935"/>
      <c r="AV74" s="935"/>
      <c r="AW74" s="935"/>
      <c r="AX74" s="935"/>
      <c r="AY74" s="935"/>
      <c r="AZ74" s="935"/>
      <c r="BA74" s="935"/>
      <c r="BB74" s="935"/>
      <c r="BC74" s="935"/>
      <c r="BD74" s="935"/>
      <c r="BE74" s="935"/>
      <c r="BF74" s="935"/>
      <c r="BG74" s="935"/>
      <c r="BH74" s="935"/>
      <c r="BI74" s="935"/>
      <c r="BJ74" s="935"/>
      <c r="BK74" s="935"/>
      <c r="BL74" s="935"/>
      <c r="BM74" s="935"/>
      <c r="BN74" s="935"/>
      <c r="BO74" s="935"/>
      <c r="BP74" s="935"/>
      <c r="BQ74" s="935"/>
      <c r="BR74" s="935"/>
      <c r="BS74" s="935"/>
      <c r="BT74" s="935"/>
    </row>
    <row r="75" spans="1:72" x14ac:dyDescent="0.25">
      <c r="A75" s="935" t="s">
        <v>785</v>
      </c>
      <c r="B75" s="935"/>
      <c r="C75" s="935"/>
      <c r="D75" s="935"/>
      <c r="E75" s="935"/>
      <c r="F75" s="935"/>
      <c r="G75" s="935"/>
      <c r="H75" s="935"/>
      <c r="I75" s="935"/>
      <c r="J75" s="935"/>
      <c r="K75" s="935"/>
      <c r="L75" s="935"/>
      <c r="M75" s="935"/>
      <c r="N75" s="935"/>
      <c r="O75" s="935"/>
      <c r="P75" s="935"/>
      <c r="Q75" s="935"/>
      <c r="R75" s="935"/>
      <c r="S75" s="935"/>
      <c r="T75" s="935"/>
      <c r="U75" s="935"/>
      <c r="V75" s="935"/>
      <c r="W75" s="935"/>
      <c r="X75" s="935"/>
      <c r="Y75" s="935"/>
      <c r="Z75" s="935"/>
      <c r="AA75" s="935"/>
      <c r="AB75" s="935"/>
      <c r="AC75" s="935"/>
      <c r="AD75" s="935"/>
      <c r="AE75" s="935"/>
      <c r="AF75" s="935"/>
      <c r="AG75" s="935"/>
      <c r="AH75" s="935"/>
      <c r="AI75" s="935"/>
      <c r="AJ75" s="935"/>
      <c r="AK75" s="935"/>
      <c r="AL75" s="935"/>
      <c r="AM75" s="935"/>
      <c r="AN75" s="935"/>
      <c r="AO75" s="935"/>
      <c r="AP75" s="935"/>
      <c r="AQ75" s="935"/>
      <c r="AR75" s="935"/>
      <c r="AS75" s="935"/>
      <c r="AT75" s="935"/>
      <c r="AU75" s="935"/>
      <c r="AV75" s="935"/>
      <c r="AW75" s="935"/>
      <c r="AX75" s="935"/>
      <c r="AY75" s="935"/>
      <c r="AZ75" s="935"/>
      <c r="BA75" s="935"/>
      <c r="BB75" s="935"/>
      <c r="BC75" s="935"/>
      <c r="BD75" s="935"/>
      <c r="BE75" s="935"/>
      <c r="BF75" s="935"/>
      <c r="BG75" s="935"/>
      <c r="BH75" s="935"/>
      <c r="BI75" s="935"/>
      <c r="BJ75" s="935"/>
      <c r="BK75" s="935"/>
      <c r="BL75" s="935"/>
      <c r="BM75" s="935"/>
      <c r="BN75" s="935"/>
      <c r="BO75" s="935"/>
      <c r="BP75" s="935"/>
      <c r="BQ75" s="935"/>
      <c r="BR75" s="935"/>
      <c r="BS75" s="935"/>
      <c r="BT75" s="935"/>
    </row>
    <row r="76" spans="1:72" x14ac:dyDescent="0.25">
      <c r="A76" s="935"/>
      <c r="B76" s="935"/>
      <c r="C76" s="935"/>
      <c r="D76" s="935"/>
      <c r="E76" s="935"/>
      <c r="F76" s="935"/>
      <c r="G76" s="935"/>
      <c r="H76" s="935"/>
      <c r="I76" s="935"/>
      <c r="J76" s="935"/>
      <c r="K76" s="935"/>
      <c r="L76" s="935"/>
      <c r="M76" s="935"/>
      <c r="N76" s="935"/>
      <c r="O76" s="935"/>
      <c r="P76" s="935"/>
      <c r="Q76" s="935"/>
      <c r="R76" s="935"/>
      <c r="S76" s="935"/>
      <c r="T76" s="935"/>
      <c r="U76" s="935"/>
      <c r="V76" s="935"/>
      <c r="W76" s="935"/>
      <c r="X76" s="935"/>
      <c r="Y76" s="935"/>
      <c r="Z76" s="935"/>
      <c r="AA76" s="935"/>
      <c r="AB76" s="935"/>
      <c r="AC76" s="935"/>
      <c r="AD76" s="935"/>
      <c r="AE76" s="935" t="s">
        <v>786</v>
      </c>
      <c r="AF76" s="935"/>
      <c r="AG76" s="935"/>
      <c r="AH76" s="935"/>
      <c r="AI76" s="935"/>
      <c r="AJ76" s="935"/>
      <c r="AK76" s="935"/>
      <c r="AL76" s="935"/>
      <c r="AM76" s="935"/>
      <c r="AN76" s="935"/>
      <c r="AO76" s="935"/>
      <c r="AP76" s="935"/>
      <c r="AQ76" s="935"/>
      <c r="AR76" s="935"/>
      <c r="AS76" s="935"/>
      <c r="AT76" s="935"/>
      <c r="AU76" s="935"/>
      <c r="AV76" s="935"/>
      <c r="AW76" s="935"/>
      <c r="AX76" s="935"/>
      <c r="AY76" s="935"/>
      <c r="AZ76" s="935"/>
      <c r="BA76" s="935"/>
      <c r="BB76" s="935"/>
      <c r="BC76" s="935"/>
      <c r="BD76" s="935"/>
      <c r="BE76" s="935"/>
      <c r="BF76" s="935"/>
      <c r="BG76" s="935"/>
      <c r="BH76" s="935"/>
      <c r="BI76" s="935"/>
      <c r="BJ76" s="935"/>
      <c r="BK76" s="935"/>
      <c r="BL76" s="935"/>
      <c r="BM76" s="935"/>
      <c r="BN76" s="935"/>
      <c r="BO76" s="935"/>
      <c r="BP76" s="935"/>
      <c r="BQ76" s="935"/>
      <c r="BR76" s="935"/>
      <c r="BS76" s="935"/>
      <c r="BT76" s="935"/>
    </row>
    <row r="77" spans="1:72" x14ac:dyDescent="0.25">
      <c r="A77" s="935" t="s">
        <v>787</v>
      </c>
      <c r="B77" s="935">
        <v>2007</v>
      </c>
      <c r="C77" s="935">
        <v>2008</v>
      </c>
      <c r="D77" s="935">
        <v>2009</v>
      </c>
      <c r="E77" s="935">
        <v>2010</v>
      </c>
      <c r="F77" s="935">
        <v>2011</v>
      </c>
      <c r="G77" s="935">
        <v>2012</v>
      </c>
      <c r="H77" s="935">
        <v>2013</v>
      </c>
      <c r="I77" s="935">
        <v>2014</v>
      </c>
      <c r="J77" s="935">
        <v>2015</v>
      </c>
      <c r="K77" s="935">
        <v>2016</v>
      </c>
      <c r="L77" s="935">
        <v>2017</v>
      </c>
      <c r="M77" s="935">
        <v>2018</v>
      </c>
      <c r="N77" s="935">
        <v>2019</v>
      </c>
      <c r="O77" s="935">
        <v>2020</v>
      </c>
      <c r="P77" s="935">
        <v>2021</v>
      </c>
      <c r="Q77" s="935">
        <v>2022</v>
      </c>
      <c r="R77" s="935">
        <v>2023</v>
      </c>
      <c r="S77" s="935">
        <v>2024</v>
      </c>
      <c r="T77" s="935">
        <v>2025</v>
      </c>
      <c r="U77" s="935">
        <v>2026</v>
      </c>
      <c r="V77" s="935">
        <v>2027</v>
      </c>
      <c r="W77" s="935">
        <v>2028</v>
      </c>
      <c r="X77" s="935">
        <v>2029</v>
      </c>
      <c r="Y77" s="935">
        <v>2030</v>
      </c>
      <c r="Z77" s="935">
        <v>2031</v>
      </c>
      <c r="AA77" s="935">
        <v>2032</v>
      </c>
      <c r="AB77" s="935">
        <v>2033</v>
      </c>
      <c r="AC77" s="935">
        <v>2034</v>
      </c>
      <c r="AD77" s="935">
        <v>2035</v>
      </c>
      <c r="AE77" s="935">
        <v>2035</v>
      </c>
      <c r="AF77" s="935"/>
      <c r="AG77" s="935"/>
      <c r="AH77" s="935"/>
      <c r="AI77" s="935"/>
      <c r="AJ77" s="935"/>
      <c r="AK77" s="935"/>
      <c r="AL77" s="935"/>
      <c r="AM77" s="935"/>
      <c r="AN77" s="935"/>
      <c r="AO77" s="935"/>
      <c r="AP77" s="935"/>
      <c r="AQ77" s="935"/>
      <c r="AR77" s="935"/>
      <c r="AS77" s="935"/>
      <c r="AT77" s="935"/>
      <c r="AU77" s="935"/>
      <c r="AV77" s="935"/>
      <c r="AW77" s="935"/>
      <c r="AX77" s="935"/>
      <c r="AY77" s="935"/>
      <c r="AZ77" s="935"/>
      <c r="BA77" s="935"/>
      <c r="BB77" s="935"/>
      <c r="BC77" s="935"/>
      <c r="BD77" s="935"/>
      <c r="BE77" s="935"/>
      <c r="BF77" s="935"/>
      <c r="BG77" s="935"/>
      <c r="BH77" s="935"/>
      <c r="BI77" s="935"/>
      <c r="BJ77" s="935"/>
      <c r="BK77" s="935"/>
      <c r="BL77" s="935"/>
      <c r="BM77" s="935"/>
      <c r="BN77" s="935"/>
      <c r="BO77" s="935"/>
      <c r="BP77" s="935"/>
      <c r="BQ77" s="935"/>
      <c r="BR77" s="935"/>
      <c r="BS77" s="935"/>
      <c r="BT77" s="935"/>
    </row>
    <row r="78" spans="1:72" x14ac:dyDescent="0.25">
      <c r="A78" s="935"/>
      <c r="B78" s="935"/>
      <c r="C78" s="935"/>
      <c r="D78" s="935"/>
      <c r="E78" s="935"/>
      <c r="F78" s="935"/>
      <c r="G78" s="935"/>
      <c r="H78" s="935"/>
      <c r="I78" s="935"/>
      <c r="J78" s="935"/>
      <c r="K78" s="935"/>
      <c r="L78" s="935"/>
      <c r="M78" s="935"/>
      <c r="N78" s="935"/>
      <c r="O78" s="935"/>
      <c r="P78" s="935"/>
      <c r="Q78" s="935"/>
      <c r="R78" s="935"/>
      <c r="S78" s="935"/>
      <c r="T78" s="935"/>
      <c r="U78" s="935"/>
      <c r="V78" s="935"/>
      <c r="W78" s="935"/>
      <c r="X78" s="935"/>
      <c r="Y78" s="935"/>
      <c r="Z78" s="935"/>
      <c r="AA78" s="935"/>
      <c r="AB78" s="935"/>
      <c r="AC78" s="935"/>
      <c r="AD78" s="935"/>
      <c r="AE78" s="935"/>
      <c r="AF78" s="935"/>
      <c r="AG78" s="935"/>
      <c r="AH78" s="935"/>
      <c r="AI78" s="935"/>
      <c r="AJ78" s="935"/>
      <c r="AK78" s="935"/>
      <c r="AL78" s="935"/>
      <c r="AM78" s="935"/>
      <c r="AN78" s="935"/>
      <c r="AO78" s="935"/>
      <c r="AP78" s="935"/>
      <c r="AQ78" s="935"/>
      <c r="AR78" s="935"/>
      <c r="AS78" s="935"/>
      <c r="AT78" s="935"/>
      <c r="AU78" s="935"/>
      <c r="AV78" s="935"/>
      <c r="AW78" s="935"/>
      <c r="AX78" s="935"/>
      <c r="AY78" s="935"/>
      <c r="AZ78" s="935"/>
      <c r="BA78" s="935"/>
      <c r="BB78" s="935"/>
      <c r="BC78" s="935"/>
      <c r="BD78" s="935"/>
      <c r="BE78" s="935"/>
      <c r="BF78" s="935"/>
      <c r="BG78" s="935"/>
      <c r="BH78" s="935"/>
      <c r="BI78" s="935"/>
      <c r="BJ78" s="935"/>
      <c r="BK78" s="935"/>
      <c r="BL78" s="935"/>
      <c r="BM78" s="935"/>
      <c r="BN78" s="935"/>
      <c r="BO78" s="935"/>
      <c r="BP78" s="935"/>
      <c r="BQ78" s="935"/>
      <c r="BR78" s="935"/>
      <c r="BS78" s="935"/>
      <c r="BT78" s="935"/>
    </row>
    <row r="79" spans="1:72" x14ac:dyDescent="0.25">
      <c r="A79" s="935" t="s">
        <v>473</v>
      </c>
      <c r="B79" s="935"/>
      <c r="C79" s="935"/>
      <c r="D79" s="935"/>
      <c r="E79" s="935"/>
      <c r="F79" s="935"/>
      <c r="G79" s="935"/>
      <c r="H79" s="935"/>
      <c r="I79" s="935"/>
      <c r="J79" s="935"/>
      <c r="K79" s="935"/>
      <c r="L79" s="935"/>
      <c r="M79" s="935"/>
      <c r="N79" s="935"/>
      <c r="O79" s="935"/>
      <c r="P79" s="935"/>
      <c r="Q79" s="935"/>
      <c r="R79" s="935"/>
      <c r="S79" s="935"/>
      <c r="T79" s="935"/>
      <c r="U79" s="935"/>
      <c r="V79" s="935"/>
      <c r="W79" s="935"/>
      <c r="X79" s="935"/>
      <c r="Y79" s="935"/>
      <c r="Z79" s="935"/>
      <c r="AA79" s="935"/>
      <c r="AB79" s="935"/>
      <c r="AC79" s="935"/>
      <c r="AD79" s="935"/>
      <c r="AE79" s="935"/>
      <c r="AF79" s="935"/>
      <c r="AG79" s="935"/>
      <c r="AH79" s="935"/>
      <c r="AI79" s="935"/>
      <c r="AJ79" s="935"/>
      <c r="AK79" s="935"/>
      <c r="AL79" s="935"/>
      <c r="AM79" s="935"/>
      <c r="AN79" s="935"/>
      <c r="AO79" s="935"/>
      <c r="AP79" s="935"/>
      <c r="AQ79" s="935"/>
      <c r="AR79" s="935"/>
      <c r="AS79" s="935"/>
      <c r="AT79" s="935"/>
      <c r="AU79" s="935"/>
      <c r="AV79" s="935"/>
      <c r="AW79" s="935"/>
      <c r="AX79" s="935"/>
      <c r="AY79" s="935"/>
      <c r="AZ79" s="935"/>
      <c r="BA79" s="935"/>
      <c r="BB79" s="935"/>
      <c r="BC79" s="935"/>
      <c r="BD79" s="935"/>
      <c r="BE79" s="935"/>
      <c r="BF79" s="935"/>
      <c r="BG79" s="935"/>
      <c r="BH79" s="935"/>
      <c r="BI79" s="935"/>
      <c r="BJ79" s="935"/>
      <c r="BK79" s="935"/>
      <c r="BL79" s="935"/>
      <c r="BM79" s="935"/>
      <c r="BN79" s="935"/>
      <c r="BO79" s="935"/>
      <c r="BP79" s="935"/>
      <c r="BQ79" s="935"/>
      <c r="BR79" s="935"/>
      <c r="BS79" s="935"/>
      <c r="BT79" s="935"/>
    </row>
    <row r="80" spans="1:72" x14ac:dyDescent="0.25">
      <c r="A80" s="935" t="s">
        <v>609</v>
      </c>
      <c r="B80" s="935">
        <v>26.25</v>
      </c>
      <c r="C80" s="935">
        <v>29.35</v>
      </c>
      <c r="D80" s="935">
        <v>24.9</v>
      </c>
      <c r="E80" s="935">
        <v>24.01</v>
      </c>
      <c r="F80" s="935">
        <v>24.09</v>
      </c>
      <c r="G80" s="935">
        <v>25.25</v>
      </c>
      <c r="H80" s="935">
        <v>26.47</v>
      </c>
      <c r="I80" s="935">
        <v>27.44</v>
      </c>
      <c r="J80" s="935">
        <v>28.03</v>
      </c>
      <c r="K80" s="935">
        <v>28.67</v>
      </c>
      <c r="L80" s="935">
        <v>29.21</v>
      </c>
      <c r="M80" s="935">
        <v>29.8</v>
      </c>
      <c r="N80" s="935">
        <v>30.06</v>
      </c>
      <c r="O80" s="935">
        <v>30.29</v>
      </c>
      <c r="P80" s="935">
        <v>30.53</v>
      </c>
      <c r="Q80" s="935">
        <v>30.73</v>
      </c>
      <c r="R80" s="935">
        <v>31.01</v>
      </c>
      <c r="S80" s="935">
        <v>31.28</v>
      </c>
      <c r="T80" s="935">
        <v>31.55</v>
      </c>
      <c r="U80" s="935">
        <v>31.7</v>
      </c>
      <c r="V80" s="935">
        <v>31.98</v>
      </c>
      <c r="W80" s="935">
        <v>32.229999999999997</v>
      </c>
      <c r="X80" s="935">
        <v>32.590000000000003</v>
      </c>
      <c r="Y80" s="935">
        <v>32.81</v>
      </c>
      <c r="Z80" s="935">
        <v>33.17</v>
      </c>
      <c r="AA80" s="935">
        <v>33.51</v>
      </c>
      <c r="AB80" s="935">
        <v>33.9</v>
      </c>
      <c r="AC80" s="935">
        <v>34.26</v>
      </c>
      <c r="AD80" s="935">
        <v>34.65</v>
      </c>
      <c r="AE80" s="974">
        <v>6.0000000000000001E-3</v>
      </c>
      <c r="AF80" s="935"/>
      <c r="AG80" s="935"/>
      <c r="AH80" s="935"/>
      <c r="AI80" s="935"/>
      <c r="AJ80" s="935"/>
      <c r="AK80" s="935"/>
      <c r="AL80" s="935"/>
      <c r="AM80" s="935"/>
      <c r="AN80" s="935"/>
      <c r="AO80" s="935"/>
      <c r="AP80" s="935"/>
      <c r="AQ80" s="935"/>
      <c r="AR80" s="935"/>
      <c r="AS80" s="935"/>
      <c r="AT80" s="935"/>
      <c r="AU80" s="935"/>
      <c r="AV80" s="935"/>
      <c r="AW80" s="935"/>
      <c r="AX80" s="935"/>
      <c r="AY80" s="935"/>
      <c r="AZ80" s="935"/>
      <c r="BA80" s="935"/>
      <c r="BB80" s="935"/>
      <c r="BC80" s="935"/>
      <c r="BD80" s="935"/>
      <c r="BE80" s="935"/>
      <c r="BF80" s="935"/>
      <c r="BG80" s="935"/>
      <c r="BH80" s="935"/>
      <c r="BI80" s="935"/>
      <c r="BJ80" s="935"/>
      <c r="BK80" s="935"/>
      <c r="BL80" s="935"/>
      <c r="BM80" s="935"/>
      <c r="BN80" s="935"/>
      <c r="BO80" s="935"/>
      <c r="BP80" s="935"/>
      <c r="BQ80" s="935"/>
      <c r="BR80" s="935"/>
      <c r="BS80" s="935"/>
      <c r="BT80" s="935"/>
    </row>
    <row r="81" spans="1:72" x14ac:dyDescent="0.25">
      <c r="A81" s="935" t="s">
        <v>610</v>
      </c>
      <c r="B81" s="935">
        <v>20.3</v>
      </c>
      <c r="C81" s="935">
        <v>24.47</v>
      </c>
      <c r="D81" s="935">
        <v>17.98</v>
      </c>
      <c r="E81" s="935">
        <v>17.57</v>
      </c>
      <c r="F81" s="935">
        <v>17.72</v>
      </c>
      <c r="G81" s="935">
        <v>18.84</v>
      </c>
      <c r="H81" s="935">
        <v>19.86</v>
      </c>
      <c r="I81" s="935">
        <v>20.58</v>
      </c>
      <c r="J81" s="935">
        <v>21.08</v>
      </c>
      <c r="K81" s="935">
        <v>22</v>
      </c>
      <c r="L81" s="935">
        <v>22.66</v>
      </c>
      <c r="M81" s="935">
        <v>23.32</v>
      </c>
      <c r="N81" s="935">
        <v>23.74</v>
      </c>
      <c r="O81" s="935">
        <v>24.1</v>
      </c>
      <c r="P81" s="935">
        <v>24.24</v>
      </c>
      <c r="Q81" s="935">
        <v>24.44</v>
      </c>
      <c r="R81" s="935">
        <v>24.76</v>
      </c>
      <c r="S81" s="935">
        <v>24.94</v>
      </c>
      <c r="T81" s="935">
        <v>25.23</v>
      </c>
      <c r="U81" s="935">
        <v>25.5</v>
      </c>
      <c r="V81" s="935">
        <v>25.72</v>
      </c>
      <c r="W81" s="935">
        <v>26.04</v>
      </c>
      <c r="X81" s="935">
        <v>26.44</v>
      </c>
      <c r="Y81" s="935">
        <v>26.61</v>
      </c>
      <c r="Z81" s="935">
        <v>27.05</v>
      </c>
      <c r="AA81" s="935">
        <v>27.45</v>
      </c>
      <c r="AB81" s="935">
        <v>27.82</v>
      </c>
      <c r="AC81" s="935">
        <v>28.24</v>
      </c>
      <c r="AD81" s="935">
        <v>28.66</v>
      </c>
      <c r="AE81" s="974">
        <v>6.0000000000000001E-3</v>
      </c>
      <c r="AF81" s="935"/>
      <c r="AG81" s="935"/>
      <c r="AH81" s="935"/>
      <c r="AI81" s="935"/>
      <c r="AJ81" s="935"/>
      <c r="AK81" s="935"/>
      <c r="AL81" s="935"/>
      <c r="AM81" s="935"/>
      <c r="AN81" s="935"/>
      <c r="AO81" s="935"/>
      <c r="AP81" s="935"/>
      <c r="AQ81" s="935"/>
      <c r="AR81" s="935"/>
      <c r="AS81" s="935"/>
      <c r="AT81" s="935"/>
      <c r="AU81" s="935"/>
      <c r="AV81" s="935"/>
      <c r="AW81" s="935"/>
      <c r="AX81" s="935"/>
      <c r="AY81" s="935"/>
      <c r="AZ81" s="935"/>
      <c r="BA81" s="935"/>
      <c r="BB81" s="935"/>
      <c r="BC81" s="935"/>
      <c r="BD81" s="935"/>
      <c r="BE81" s="935"/>
      <c r="BF81" s="935"/>
      <c r="BG81" s="935"/>
      <c r="BH81" s="935"/>
      <c r="BI81" s="935"/>
      <c r="BJ81" s="935"/>
      <c r="BK81" s="935"/>
      <c r="BL81" s="935"/>
      <c r="BM81" s="935"/>
      <c r="BN81" s="935"/>
      <c r="BO81" s="935"/>
      <c r="BP81" s="935"/>
      <c r="BQ81" s="935"/>
      <c r="BR81" s="935"/>
      <c r="BS81" s="935"/>
      <c r="BT81" s="935"/>
    </row>
    <row r="82" spans="1:72" x14ac:dyDescent="0.25">
      <c r="A82" s="935" t="s">
        <v>510</v>
      </c>
      <c r="B82" s="935">
        <v>12.94</v>
      </c>
      <c r="C82" s="935">
        <v>13.48</v>
      </c>
      <c r="D82" s="935">
        <v>11.39</v>
      </c>
      <c r="E82" s="935">
        <v>10.89</v>
      </c>
      <c r="F82" s="935">
        <v>11.78</v>
      </c>
      <c r="G82" s="935">
        <v>11.87</v>
      </c>
      <c r="H82" s="935">
        <v>11.48</v>
      </c>
      <c r="I82" s="935">
        <v>11.41</v>
      </c>
      <c r="J82" s="935">
        <v>11.56</v>
      </c>
      <c r="K82" s="935">
        <v>11.65</v>
      </c>
      <c r="L82" s="935">
        <v>11.69</v>
      </c>
      <c r="M82" s="935">
        <v>11.76</v>
      </c>
      <c r="N82" s="935">
        <v>11.83</v>
      </c>
      <c r="O82" s="935">
        <v>11.95</v>
      </c>
      <c r="P82" s="935">
        <v>12.07</v>
      </c>
      <c r="Q82" s="935">
        <v>12.26</v>
      </c>
      <c r="R82" s="935">
        <v>12.29</v>
      </c>
      <c r="S82" s="935">
        <v>12.2</v>
      </c>
      <c r="T82" s="935">
        <v>12.29</v>
      </c>
      <c r="U82" s="935">
        <v>12.46</v>
      </c>
      <c r="V82" s="935">
        <v>12.66</v>
      </c>
      <c r="W82" s="935">
        <v>12.9</v>
      </c>
      <c r="X82" s="935">
        <v>13.16</v>
      </c>
      <c r="Y82" s="935">
        <v>13.44</v>
      </c>
      <c r="Z82" s="935">
        <v>13.78</v>
      </c>
      <c r="AA82" s="935">
        <v>13.93</v>
      </c>
      <c r="AB82" s="935">
        <v>14.03</v>
      </c>
      <c r="AC82" s="935">
        <v>14.25</v>
      </c>
      <c r="AD82" s="935">
        <v>14.4</v>
      </c>
      <c r="AE82" s="974">
        <v>2E-3</v>
      </c>
      <c r="AF82" s="935"/>
      <c r="AG82" s="935"/>
      <c r="AH82" s="935"/>
      <c r="AI82" s="935"/>
      <c r="AJ82" s="935"/>
      <c r="AK82" s="935"/>
      <c r="AL82" s="935"/>
      <c r="AM82" s="935"/>
      <c r="AN82" s="935"/>
      <c r="AO82" s="935"/>
      <c r="AP82" s="935"/>
      <c r="AQ82" s="935"/>
      <c r="AR82" s="935"/>
      <c r="AS82" s="935"/>
      <c r="AT82" s="935"/>
      <c r="AU82" s="935"/>
      <c r="AV82" s="935"/>
      <c r="AW82" s="935"/>
      <c r="AX82" s="935"/>
      <c r="AY82" s="935"/>
      <c r="AZ82" s="935"/>
      <c r="BA82" s="935"/>
      <c r="BB82" s="935"/>
      <c r="BC82" s="935"/>
      <c r="BD82" s="935"/>
      <c r="BE82" s="935"/>
      <c r="BF82" s="935"/>
      <c r="BG82" s="935"/>
      <c r="BH82" s="935"/>
      <c r="BI82" s="935"/>
      <c r="BJ82" s="935"/>
      <c r="BK82" s="935"/>
      <c r="BL82" s="935"/>
      <c r="BM82" s="935"/>
      <c r="BN82" s="935"/>
      <c r="BO82" s="935"/>
      <c r="BP82" s="935"/>
      <c r="BQ82" s="935"/>
      <c r="BR82" s="935"/>
      <c r="BS82" s="935"/>
      <c r="BT82" s="935"/>
    </row>
    <row r="83" spans="1:72" x14ac:dyDescent="0.25">
      <c r="A83" s="935" t="s">
        <v>479</v>
      </c>
      <c r="B83" s="935">
        <v>31.82</v>
      </c>
      <c r="C83" s="935">
        <v>33.29</v>
      </c>
      <c r="D83" s="935">
        <v>32.33</v>
      </c>
      <c r="E83" s="935">
        <v>30.94</v>
      </c>
      <c r="F83" s="935">
        <v>29.9</v>
      </c>
      <c r="G83" s="935">
        <v>31.08</v>
      </c>
      <c r="H83" s="935">
        <v>31.47</v>
      </c>
      <c r="I83" s="935">
        <v>31.49</v>
      </c>
      <c r="J83" s="935">
        <v>31.43</v>
      </c>
      <c r="K83" s="935">
        <v>31.64</v>
      </c>
      <c r="L83" s="935">
        <v>31.8</v>
      </c>
      <c r="M83" s="935">
        <v>31.78</v>
      </c>
      <c r="N83" s="935">
        <v>31.68</v>
      </c>
      <c r="O83" s="935">
        <v>31.84</v>
      </c>
      <c r="P83" s="935">
        <v>32.01</v>
      </c>
      <c r="Q83" s="935">
        <v>32.08</v>
      </c>
      <c r="R83" s="935">
        <v>32.200000000000003</v>
      </c>
      <c r="S83" s="935">
        <v>32.28</v>
      </c>
      <c r="T83" s="935">
        <v>32.26</v>
      </c>
      <c r="U83" s="935">
        <v>32.4</v>
      </c>
      <c r="V83" s="935">
        <v>32.57</v>
      </c>
      <c r="W83" s="935">
        <v>32.729999999999997</v>
      </c>
      <c r="X83" s="935">
        <v>33.130000000000003</v>
      </c>
      <c r="Y83" s="935">
        <v>33.46</v>
      </c>
      <c r="Z83" s="935">
        <v>33.81</v>
      </c>
      <c r="AA83" s="935">
        <v>34.11</v>
      </c>
      <c r="AB83" s="935">
        <v>34.26</v>
      </c>
      <c r="AC83" s="935">
        <v>34.49</v>
      </c>
      <c r="AD83" s="935">
        <v>34.71</v>
      </c>
      <c r="AE83" s="974">
        <v>2E-3</v>
      </c>
      <c r="AF83" s="935"/>
      <c r="AG83" s="935"/>
      <c r="AH83" s="935"/>
      <c r="AI83" s="935"/>
      <c r="AJ83" s="935"/>
      <c r="AK83" s="935"/>
      <c r="AL83" s="935"/>
      <c r="AM83" s="935"/>
      <c r="AN83" s="935"/>
      <c r="AO83" s="935"/>
      <c r="AP83" s="935"/>
      <c r="AQ83" s="935"/>
      <c r="AR83" s="935"/>
      <c r="AS83" s="935"/>
      <c r="AT83" s="935"/>
      <c r="AU83" s="935"/>
      <c r="AV83" s="935"/>
      <c r="AW83" s="935"/>
      <c r="AX83" s="935"/>
      <c r="AY83" s="935"/>
      <c r="AZ83" s="935"/>
      <c r="BA83" s="935"/>
      <c r="BB83" s="935"/>
      <c r="BC83" s="935"/>
      <c r="BD83" s="935"/>
      <c r="BE83" s="935"/>
      <c r="BF83" s="935"/>
      <c r="BG83" s="935"/>
      <c r="BH83" s="935"/>
      <c r="BI83" s="935"/>
      <c r="BJ83" s="935"/>
      <c r="BK83" s="935"/>
      <c r="BL83" s="935"/>
      <c r="BM83" s="935"/>
      <c r="BN83" s="935"/>
      <c r="BO83" s="935"/>
      <c r="BP83" s="935"/>
      <c r="BQ83" s="935"/>
      <c r="BR83" s="935"/>
      <c r="BS83" s="935"/>
      <c r="BT83" s="935"/>
    </row>
    <row r="84" spans="1:72" x14ac:dyDescent="0.25">
      <c r="A84" s="935"/>
      <c r="B84" s="935"/>
      <c r="C84" s="935"/>
      <c r="D84" s="935"/>
      <c r="E84" s="935"/>
      <c r="F84" s="935"/>
      <c r="G84" s="935"/>
      <c r="H84" s="935"/>
      <c r="I84" s="935"/>
      <c r="J84" s="935"/>
      <c r="K84" s="935"/>
      <c r="L84" s="935"/>
      <c r="M84" s="935"/>
      <c r="N84" s="935"/>
      <c r="O84" s="935"/>
      <c r="P84" s="935"/>
      <c r="Q84" s="935"/>
      <c r="R84" s="935"/>
      <c r="S84" s="935"/>
      <c r="T84" s="935"/>
      <c r="U84" s="935"/>
      <c r="V84" s="935"/>
      <c r="W84" s="935"/>
      <c r="X84" s="935"/>
      <c r="Y84" s="935"/>
      <c r="Z84" s="935"/>
      <c r="AA84" s="935"/>
      <c r="AB84" s="935"/>
      <c r="AC84" s="935"/>
      <c r="AD84" s="935"/>
      <c r="AE84" s="935"/>
      <c r="AF84" s="935"/>
      <c r="AG84" s="935"/>
      <c r="AH84" s="935"/>
      <c r="AI84" s="935"/>
      <c r="AJ84" s="935"/>
      <c r="AK84" s="935"/>
      <c r="AL84" s="935"/>
      <c r="AM84" s="935"/>
      <c r="AN84" s="935"/>
      <c r="AO84" s="935"/>
      <c r="AP84" s="935"/>
      <c r="AQ84" s="935"/>
      <c r="AR84" s="935"/>
      <c r="AS84" s="935"/>
      <c r="AT84" s="935"/>
      <c r="AU84" s="935"/>
      <c r="AV84" s="935"/>
      <c r="AW84" s="935"/>
      <c r="AX84" s="935"/>
      <c r="AY84" s="935"/>
      <c r="AZ84" s="935"/>
      <c r="BA84" s="935"/>
      <c r="BB84" s="935"/>
      <c r="BC84" s="935"/>
      <c r="BD84" s="935"/>
      <c r="BE84" s="935"/>
      <c r="BF84" s="935"/>
      <c r="BG84" s="935"/>
      <c r="BH84" s="935"/>
      <c r="BI84" s="935"/>
      <c r="BJ84" s="935"/>
      <c r="BK84" s="935"/>
      <c r="BL84" s="935"/>
      <c r="BM84" s="935"/>
      <c r="BN84" s="935"/>
      <c r="BO84" s="935"/>
      <c r="BP84" s="935"/>
      <c r="BQ84" s="935"/>
      <c r="BR84" s="935"/>
      <c r="BS84" s="935"/>
      <c r="BT84" s="935"/>
    </row>
    <row r="85" spans="1:72" x14ac:dyDescent="0.25">
      <c r="A85" s="935" t="s">
        <v>480</v>
      </c>
      <c r="B85" s="935"/>
      <c r="C85" s="935"/>
      <c r="D85" s="935"/>
      <c r="E85" s="935"/>
      <c r="F85" s="935"/>
      <c r="G85" s="935"/>
      <c r="H85" s="935"/>
      <c r="I85" s="935"/>
      <c r="J85" s="935"/>
      <c r="K85" s="935"/>
      <c r="L85" s="935"/>
      <c r="M85" s="935"/>
      <c r="N85" s="935"/>
      <c r="O85" s="935"/>
      <c r="P85" s="935"/>
      <c r="Q85" s="935"/>
      <c r="R85" s="935"/>
      <c r="S85" s="935"/>
      <c r="T85" s="935"/>
      <c r="U85" s="935"/>
      <c r="V85" s="935"/>
      <c r="W85" s="935"/>
      <c r="X85" s="935"/>
      <c r="Y85" s="935"/>
      <c r="Z85" s="935"/>
      <c r="AA85" s="935"/>
      <c r="AB85" s="935"/>
      <c r="AC85" s="935"/>
      <c r="AD85" s="935"/>
      <c r="AE85" s="935"/>
      <c r="AF85" s="935"/>
      <c r="AG85" s="935"/>
      <c r="AH85" s="935"/>
      <c r="AI85" s="935"/>
      <c r="AJ85" s="935"/>
      <c r="AK85" s="935"/>
      <c r="AL85" s="935"/>
      <c r="AM85" s="935"/>
      <c r="AN85" s="935"/>
      <c r="AO85" s="935"/>
      <c r="AP85" s="935"/>
      <c r="AQ85" s="935"/>
      <c r="AR85" s="935"/>
      <c r="AS85" s="935"/>
      <c r="AT85" s="935"/>
      <c r="AU85" s="935"/>
      <c r="AV85" s="935"/>
      <c r="AW85" s="935"/>
      <c r="AX85" s="935"/>
      <c r="AY85" s="935"/>
      <c r="AZ85" s="935"/>
      <c r="BA85" s="935"/>
      <c r="BB85" s="935"/>
      <c r="BC85" s="935"/>
      <c r="BD85" s="935"/>
      <c r="BE85" s="935"/>
      <c r="BF85" s="935"/>
      <c r="BG85" s="935"/>
      <c r="BH85" s="935"/>
      <c r="BI85" s="935"/>
      <c r="BJ85" s="935"/>
      <c r="BK85" s="935"/>
      <c r="BL85" s="935"/>
      <c r="BM85" s="935"/>
      <c r="BN85" s="935"/>
      <c r="BO85" s="935"/>
      <c r="BP85" s="935"/>
      <c r="BQ85" s="935"/>
      <c r="BR85" s="935"/>
      <c r="BS85" s="935"/>
      <c r="BT85" s="935"/>
    </row>
    <row r="86" spans="1:72" x14ac:dyDescent="0.25">
      <c r="A86" s="935" t="s">
        <v>609</v>
      </c>
      <c r="B86" s="935">
        <v>20.65</v>
      </c>
      <c r="C86" s="935">
        <v>26.15</v>
      </c>
      <c r="D86" s="935">
        <v>19.82</v>
      </c>
      <c r="E86" s="935">
        <v>20.78</v>
      </c>
      <c r="F86" s="935">
        <v>20.86</v>
      </c>
      <c r="G86" s="935">
        <v>22.02</v>
      </c>
      <c r="H86" s="935">
        <v>23.23</v>
      </c>
      <c r="I86" s="935">
        <v>24.19</v>
      </c>
      <c r="J86" s="935">
        <v>24.77</v>
      </c>
      <c r="K86" s="935">
        <v>25.41</v>
      </c>
      <c r="L86" s="935">
        <v>25.95</v>
      </c>
      <c r="M86" s="935">
        <v>26.53</v>
      </c>
      <c r="N86" s="935">
        <v>26.79</v>
      </c>
      <c r="O86" s="935">
        <v>27.02</v>
      </c>
      <c r="P86" s="935">
        <v>27.25</v>
      </c>
      <c r="Q86" s="935">
        <v>27.46</v>
      </c>
      <c r="R86" s="935">
        <v>27.73</v>
      </c>
      <c r="S86" s="935">
        <v>28</v>
      </c>
      <c r="T86" s="935">
        <v>28.26</v>
      </c>
      <c r="U86" s="935">
        <v>28.41</v>
      </c>
      <c r="V86" s="935">
        <v>28.68</v>
      </c>
      <c r="W86" s="935">
        <v>28.93</v>
      </c>
      <c r="X86" s="935">
        <v>29.28</v>
      </c>
      <c r="Y86" s="935">
        <v>29.5</v>
      </c>
      <c r="Z86" s="935">
        <v>29.86</v>
      </c>
      <c r="AA86" s="935">
        <v>30.19</v>
      </c>
      <c r="AB86" s="935">
        <v>30.58</v>
      </c>
      <c r="AC86" s="935">
        <v>30.94</v>
      </c>
      <c r="AD86" s="935">
        <v>31.32</v>
      </c>
      <c r="AE86" s="974">
        <v>7.0000000000000001E-3</v>
      </c>
      <c r="AF86" s="935"/>
      <c r="AG86" s="935"/>
      <c r="AH86" s="935"/>
      <c r="AI86" s="935"/>
      <c r="AJ86" s="935"/>
      <c r="AK86" s="935"/>
      <c r="AL86" s="935"/>
      <c r="AM86" s="935"/>
      <c r="AN86" s="935"/>
      <c r="AO86" s="935"/>
      <c r="AP86" s="935"/>
      <c r="AQ86" s="935"/>
      <c r="AR86" s="935"/>
      <c r="AS86" s="935"/>
      <c r="AT86" s="935"/>
      <c r="AU86" s="935"/>
      <c r="AV86" s="935"/>
      <c r="AW86" s="935"/>
      <c r="AX86" s="935"/>
      <c r="AY86" s="935"/>
      <c r="AZ86" s="935"/>
      <c r="BA86" s="935"/>
      <c r="BB86" s="935"/>
      <c r="BC86" s="935"/>
      <c r="BD86" s="935"/>
      <c r="BE86" s="935"/>
      <c r="BF86" s="935"/>
      <c r="BG86" s="935"/>
      <c r="BH86" s="935"/>
      <c r="BI86" s="935"/>
      <c r="BJ86" s="935"/>
      <c r="BK86" s="935"/>
      <c r="BL86" s="935"/>
      <c r="BM86" s="935"/>
      <c r="BN86" s="935"/>
      <c r="BO86" s="935"/>
      <c r="BP86" s="935"/>
      <c r="BQ86" s="935"/>
      <c r="BR86" s="935"/>
      <c r="BS86" s="935"/>
      <c r="BT86" s="935"/>
    </row>
    <row r="87" spans="1:72" x14ac:dyDescent="0.25">
      <c r="A87" s="935" t="s">
        <v>610</v>
      </c>
      <c r="B87" s="935">
        <v>17.48</v>
      </c>
      <c r="C87" s="935">
        <v>21.5</v>
      </c>
      <c r="D87" s="935">
        <v>15.8</v>
      </c>
      <c r="E87" s="935">
        <v>14.82</v>
      </c>
      <c r="F87" s="935">
        <v>15.24</v>
      </c>
      <c r="G87" s="935">
        <v>16.38</v>
      </c>
      <c r="H87" s="935">
        <v>17.399999999999999</v>
      </c>
      <c r="I87" s="935">
        <v>18.11</v>
      </c>
      <c r="J87" s="935">
        <v>18.72</v>
      </c>
      <c r="K87" s="935">
        <v>19.559999999999999</v>
      </c>
      <c r="L87" s="935">
        <v>20.2</v>
      </c>
      <c r="M87" s="935">
        <v>20.84</v>
      </c>
      <c r="N87" s="935">
        <v>21.26</v>
      </c>
      <c r="O87" s="935">
        <v>21.6</v>
      </c>
      <c r="P87" s="935">
        <v>21.78</v>
      </c>
      <c r="Q87" s="935">
        <v>22.04</v>
      </c>
      <c r="R87" s="935">
        <v>22.29</v>
      </c>
      <c r="S87" s="935">
        <v>22.43</v>
      </c>
      <c r="T87" s="935">
        <v>22.72</v>
      </c>
      <c r="U87" s="935">
        <v>22.97</v>
      </c>
      <c r="V87" s="935">
        <v>23.21</v>
      </c>
      <c r="W87" s="935">
        <v>23.53</v>
      </c>
      <c r="X87" s="935">
        <v>23.93</v>
      </c>
      <c r="Y87" s="935">
        <v>24.11</v>
      </c>
      <c r="Z87" s="935">
        <v>24.54</v>
      </c>
      <c r="AA87" s="935">
        <v>24.94</v>
      </c>
      <c r="AB87" s="935">
        <v>25.28</v>
      </c>
      <c r="AC87" s="935">
        <v>25.69</v>
      </c>
      <c r="AD87" s="935">
        <v>26.13</v>
      </c>
      <c r="AE87" s="974">
        <v>7.0000000000000001E-3</v>
      </c>
      <c r="AF87" s="935"/>
      <c r="AG87" s="935"/>
      <c r="AH87" s="935"/>
      <c r="AI87" s="935"/>
      <c r="AJ87" s="935"/>
      <c r="AK87" s="935"/>
      <c r="AL87" s="935"/>
      <c r="AM87" s="935"/>
      <c r="AN87" s="935"/>
      <c r="AO87" s="935"/>
      <c r="AP87" s="935"/>
      <c r="AQ87" s="935"/>
      <c r="AR87" s="935"/>
      <c r="AS87" s="935"/>
      <c r="AT87" s="935"/>
      <c r="AU87" s="935"/>
      <c r="AV87" s="935"/>
      <c r="AW87" s="935"/>
      <c r="AX87" s="935"/>
      <c r="AY87" s="935"/>
      <c r="AZ87" s="935"/>
      <c r="BA87" s="935"/>
      <c r="BB87" s="935"/>
      <c r="BC87" s="935"/>
      <c r="BD87" s="935"/>
      <c r="BE87" s="935"/>
      <c r="BF87" s="935"/>
      <c r="BG87" s="935"/>
      <c r="BH87" s="935"/>
      <c r="BI87" s="935"/>
      <c r="BJ87" s="935"/>
      <c r="BK87" s="935"/>
      <c r="BL87" s="935"/>
      <c r="BM87" s="935"/>
      <c r="BN87" s="935"/>
      <c r="BO87" s="935"/>
      <c r="BP87" s="935"/>
      <c r="BQ87" s="935"/>
      <c r="BR87" s="935"/>
      <c r="BS87" s="935"/>
      <c r="BT87" s="935"/>
    </row>
    <row r="88" spans="1:72" x14ac:dyDescent="0.25">
      <c r="A88" s="935" t="s">
        <v>723</v>
      </c>
      <c r="B88" s="935">
        <v>8.39</v>
      </c>
      <c r="C88" s="935">
        <v>15.52</v>
      </c>
      <c r="D88" s="935">
        <v>9.27</v>
      </c>
      <c r="E88" s="935">
        <v>9.4499999999999993</v>
      </c>
      <c r="F88" s="935">
        <v>9.6300000000000008</v>
      </c>
      <c r="G88" s="935">
        <v>10.85</v>
      </c>
      <c r="H88" s="935">
        <v>11.98</v>
      </c>
      <c r="I88" s="935">
        <v>12.76</v>
      </c>
      <c r="J88" s="935">
        <v>13.13</v>
      </c>
      <c r="K88" s="935">
        <v>13.68</v>
      </c>
      <c r="L88" s="935">
        <v>14.17</v>
      </c>
      <c r="M88" s="935">
        <v>14.69</v>
      </c>
      <c r="N88" s="935">
        <v>15.26</v>
      </c>
      <c r="O88" s="935">
        <v>15.46</v>
      </c>
      <c r="P88" s="935">
        <v>15.68</v>
      </c>
      <c r="Q88" s="935">
        <v>15.89</v>
      </c>
      <c r="R88" s="935">
        <v>16.12</v>
      </c>
      <c r="S88" s="935">
        <v>16.34</v>
      </c>
      <c r="T88" s="935">
        <v>16.54</v>
      </c>
      <c r="U88" s="935">
        <v>16.63</v>
      </c>
      <c r="V88" s="935">
        <v>16.82</v>
      </c>
      <c r="W88" s="935">
        <v>17.059999999999999</v>
      </c>
      <c r="X88" s="935">
        <v>17.28</v>
      </c>
      <c r="Y88" s="935">
        <v>17.54</v>
      </c>
      <c r="Z88" s="935">
        <v>17.89</v>
      </c>
      <c r="AA88" s="935">
        <v>18.12</v>
      </c>
      <c r="AB88" s="935">
        <v>18.25</v>
      </c>
      <c r="AC88" s="935">
        <v>18.68</v>
      </c>
      <c r="AD88" s="935">
        <v>18.84</v>
      </c>
      <c r="AE88" s="974">
        <v>7.0000000000000001E-3</v>
      </c>
      <c r="AF88" s="935"/>
      <c r="AG88" s="935"/>
      <c r="AH88" s="935"/>
      <c r="AI88" s="935"/>
      <c r="AJ88" s="935"/>
      <c r="AK88" s="935"/>
      <c r="AL88" s="935"/>
      <c r="AM88" s="935"/>
      <c r="AN88" s="935"/>
      <c r="AO88" s="935"/>
      <c r="AP88" s="935"/>
      <c r="AQ88" s="935"/>
      <c r="AR88" s="935"/>
      <c r="AS88" s="935"/>
      <c r="AT88" s="935"/>
      <c r="AU88" s="935"/>
      <c r="AV88" s="935"/>
      <c r="AW88" s="935"/>
      <c r="AX88" s="935"/>
      <c r="AY88" s="935"/>
      <c r="AZ88" s="935"/>
      <c r="BA88" s="935"/>
      <c r="BB88" s="935"/>
      <c r="BC88" s="935"/>
      <c r="BD88" s="935"/>
      <c r="BE88" s="935"/>
      <c r="BF88" s="935"/>
      <c r="BG88" s="935"/>
      <c r="BH88" s="935"/>
      <c r="BI88" s="935"/>
      <c r="BJ88" s="935"/>
      <c r="BK88" s="935"/>
      <c r="BL88" s="935"/>
      <c r="BM88" s="935"/>
      <c r="BN88" s="935"/>
      <c r="BO88" s="935"/>
      <c r="BP88" s="935"/>
      <c r="BQ88" s="935"/>
      <c r="BR88" s="935"/>
      <c r="BS88" s="935"/>
      <c r="BT88" s="935"/>
    </row>
    <row r="89" spans="1:72" x14ac:dyDescent="0.25">
      <c r="A89" s="935" t="s">
        <v>510</v>
      </c>
      <c r="B89" s="935">
        <v>11.2</v>
      </c>
      <c r="C89" s="935">
        <v>11.94</v>
      </c>
      <c r="D89" s="935">
        <v>9.0500000000000007</v>
      </c>
      <c r="E89" s="935">
        <v>8.67</v>
      </c>
      <c r="F89" s="935">
        <v>9.7200000000000006</v>
      </c>
      <c r="G89" s="935">
        <v>10.07</v>
      </c>
      <c r="H89" s="935">
        <v>9.92</v>
      </c>
      <c r="I89" s="935">
        <v>9.85</v>
      </c>
      <c r="J89" s="935">
        <v>9.99</v>
      </c>
      <c r="K89" s="935">
        <v>10.08</v>
      </c>
      <c r="L89" s="935">
        <v>10.11</v>
      </c>
      <c r="M89" s="935">
        <v>10.16</v>
      </c>
      <c r="N89" s="935">
        <v>10.23</v>
      </c>
      <c r="O89" s="935">
        <v>10.35</v>
      </c>
      <c r="P89" s="935">
        <v>10.46</v>
      </c>
      <c r="Q89" s="935">
        <v>10.65</v>
      </c>
      <c r="R89" s="935">
        <v>10.69</v>
      </c>
      <c r="S89" s="935">
        <v>10.62</v>
      </c>
      <c r="T89" s="935">
        <v>10.7</v>
      </c>
      <c r="U89" s="935">
        <v>10.86</v>
      </c>
      <c r="V89" s="935">
        <v>11.04</v>
      </c>
      <c r="W89" s="935">
        <v>11.28</v>
      </c>
      <c r="X89" s="935">
        <v>11.52</v>
      </c>
      <c r="Y89" s="935">
        <v>11.78</v>
      </c>
      <c r="Z89" s="935">
        <v>12.11</v>
      </c>
      <c r="AA89" s="935">
        <v>12.26</v>
      </c>
      <c r="AB89" s="935">
        <v>12.32</v>
      </c>
      <c r="AC89" s="935">
        <v>12.52</v>
      </c>
      <c r="AD89" s="935">
        <v>12.66</v>
      </c>
      <c r="AE89" s="974">
        <v>2E-3</v>
      </c>
      <c r="AF89" s="935"/>
      <c r="AG89" s="935"/>
      <c r="AH89" s="935"/>
      <c r="AI89" s="935"/>
      <c r="AJ89" s="935"/>
      <c r="AK89" s="935"/>
      <c r="AL89" s="935"/>
      <c r="AM89" s="935"/>
      <c r="AN89" s="935"/>
      <c r="AO89" s="935"/>
      <c r="AP89" s="935"/>
      <c r="AQ89" s="935"/>
      <c r="AR89" s="935"/>
      <c r="AS89" s="935"/>
      <c r="AT89" s="935"/>
      <c r="AU89" s="935"/>
      <c r="AV89" s="935"/>
      <c r="AW89" s="935"/>
      <c r="AX89" s="935"/>
      <c r="AY89" s="935"/>
      <c r="AZ89" s="935"/>
      <c r="BA89" s="935"/>
      <c r="BB89" s="935"/>
      <c r="BC89" s="935"/>
      <c r="BD89" s="935"/>
      <c r="BE89" s="935"/>
      <c r="BF89" s="935"/>
      <c r="BG89" s="935"/>
      <c r="BH89" s="935"/>
      <c r="BI89" s="935"/>
      <c r="BJ89" s="935"/>
      <c r="BK89" s="935"/>
      <c r="BL89" s="935"/>
      <c r="BM89" s="935"/>
      <c r="BN89" s="935"/>
      <c r="BO89" s="935"/>
      <c r="BP89" s="935"/>
      <c r="BQ89" s="935"/>
      <c r="BR89" s="935"/>
      <c r="BS89" s="935"/>
      <c r="BT89" s="935"/>
    </row>
    <row r="90" spans="1:72" x14ac:dyDescent="0.25">
      <c r="A90" s="935" t="s">
        <v>479</v>
      </c>
      <c r="B90" s="935">
        <v>28.81</v>
      </c>
      <c r="C90" s="935">
        <v>30.47</v>
      </c>
      <c r="D90" s="935">
        <v>28.94</v>
      </c>
      <c r="E90" s="935">
        <v>27.37</v>
      </c>
      <c r="F90" s="935">
        <v>25.72</v>
      </c>
      <c r="G90" s="935">
        <v>26.72</v>
      </c>
      <c r="H90" s="935">
        <v>26.81</v>
      </c>
      <c r="I90" s="935">
        <v>26.55</v>
      </c>
      <c r="J90" s="935">
        <v>26.55</v>
      </c>
      <c r="K90" s="935">
        <v>26.81</v>
      </c>
      <c r="L90" s="935">
        <v>26.97</v>
      </c>
      <c r="M90" s="935">
        <v>26.98</v>
      </c>
      <c r="N90" s="935">
        <v>26.93</v>
      </c>
      <c r="O90" s="935">
        <v>27.12</v>
      </c>
      <c r="P90" s="935">
        <v>27.31</v>
      </c>
      <c r="Q90" s="935">
        <v>27.42</v>
      </c>
      <c r="R90" s="935">
        <v>27.62</v>
      </c>
      <c r="S90" s="935">
        <v>27.77</v>
      </c>
      <c r="T90" s="935">
        <v>27.72</v>
      </c>
      <c r="U90" s="935">
        <v>27.87</v>
      </c>
      <c r="V90" s="935">
        <v>28.05</v>
      </c>
      <c r="W90" s="935">
        <v>28.25</v>
      </c>
      <c r="X90" s="935">
        <v>28.67</v>
      </c>
      <c r="Y90" s="935">
        <v>28.99</v>
      </c>
      <c r="Z90" s="935">
        <v>29.37</v>
      </c>
      <c r="AA90" s="935">
        <v>29.73</v>
      </c>
      <c r="AB90" s="935">
        <v>29.9</v>
      </c>
      <c r="AC90" s="935">
        <v>30.15</v>
      </c>
      <c r="AD90" s="935">
        <v>30.37</v>
      </c>
      <c r="AE90" s="974">
        <v>0</v>
      </c>
      <c r="AF90" s="935"/>
      <c r="AG90" s="935"/>
      <c r="AH90" s="935"/>
      <c r="AI90" s="935"/>
      <c r="AJ90" s="935"/>
      <c r="AK90" s="935"/>
      <c r="AL90" s="935"/>
      <c r="AM90" s="935"/>
      <c r="AN90" s="935"/>
      <c r="AO90" s="935"/>
      <c r="AP90" s="935"/>
      <c r="AQ90" s="935"/>
      <c r="AR90" s="935"/>
      <c r="AS90" s="935"/>
      <c r="AT90" s="935"/>
      <c r="AU90" s="935"/>
      <c r="AV90" s="935"/>
      <c r="AW90" s="935"/>
      <c r="AX90" s="935"/>
      <c r="AY90" s="935"/>
      <c r="AZ90" s="935"/>
      <c r="BA90" s="935"/>
      <c r="BB90" s="935"/>
      <c r="BC90" s="935"/>
      <c r="BD90" s="935"/>
      <c r="BE90" s="935"/>
      <c r="BF90" s="935"/>
      <c r="BG90" s="935"/>
      <c r="BH90" s="935"/>
      <c r="BI90" s="935"/>
      <c r="BJ90" s="935"/>
      <c r="BK90" s="935"/>
      <c r="BL90" s="935"/>
      <c r="BM90" s="935"/>
      <c r="BN90" s="935"/>
      <c r="BO90" s="935"/>
      <c r="BP90" s="935"/>
      <c r="BQ90" s="935"/>
      <c r="BR90" s="935"/>
      <c r="BS90" s="935"/>
      <c r="BT90" s="935"/>
    </row>
    <row r="91" spans="1:72" x14ac:dyDescent="0.25">
      <c r="A91" s="935"/>
      <c r="B91" s="935"/>
      <c r="C91" s="935"/>
      <c r="D91" s="935"/>
      <c r="E91" s="935"/>
      <c r="F91" s="935"/>
      <c r="G91" s="935"/>
      <c r="H91" s="935"/>
      <c r="I91" s="935"/>
      <c r="J91" s="935"/>
      <c r="K91" s="935"/>
      <c r="L91" s="935"/>
      <c r="M91" s="935"/>
      <c r="N91" s="935"/>
      <c r="O91" s="935"/>
      <c r="P91" s="935"/>
      <c r="Q91" s="935"/>
      <c r="R91" s="935"/>
      <c r="S91" s="935"/>
      <c r="T91" s="935"/>
      <c r="U91" s="935"/>
      <c r="V91" s="935"/>
      <c r="W91" s="935"/>
      <c r="X91" s="935"/>
      <c r="Y91" s="935"/>
      <c r="Z91" s="935"/>
      <c r="AA91" s="935"/>
      <c r="AB91" s="935"/>
      <c r="AC91" s="935"/>
      <c r="AD91" s="935"/>
      <c r="AE91" s="935"/>
      <c r="AF91" s="935"/>
      <c r="AG91" s="935"/>
      <c r="AH91" s="935"/>
      <c r="AI91" s="935"/>
      <c r="AJ91" s="935"/>
      <c r="AK91" s="935"/>
      <c r="AL91" s="935"/>
      <c r="AM91" s="935"/>
      <c r="AN91" s="935"/>
      <c r="AO91" s="935"/>
      <c r="AP91" s="935"/>
      <c r="AQ91" s="935"/>
      <c r="AR91" s="935"/>
      <c r="AS91" s="935"/>
      <c r="AT91" s="935"/>
      <c r="AU91" s="935"/>
      <c r="AV91" s="935"/>
      <c r="AW91" s="935"/>
      <c r="AX91" s="935"/>
      <c r="AY91" s="935"/>
      <c r="AZ91" s="935"/>
      <c r="BA91" s="935"/>
      <c r="BB91" s="935"/>
      <c r="BC91" s="935"/>
      <c r="BD91" s="935"/>
      <c r="BE91" s="935"/>
      <c r="BF91" s="935"/>
      <c r="BG91" s="935"/>
      <c r="BH91" s="935"/>
      <c r="BI91" s="935"/>
      <c r="BJ91" s="935"/>
      <c r="BK91" s="935"/>
      <c r="BL91" s="935"/>
      <c r="BM91" s="935"/>
      <c r="BN91" s="935"/>
      <c r="BO91" s="935"/>
      <c r="BP91" s="935"/>
      <c r="BQ91" s="935"/>
      <c r="BR91" s="935"/>
      <c r="BS91" s="935"/>
      <c r="BT91" s="935"/>
    </row>
    <row r="92" spans="1:72" x14ac:dyDescent="0.25">
      <c r="A92" s="935" t="s">
        <v>612</v>
      </c>
      <c r="B92" s="935"/>
      <c r="C92" s="935"/>
      <c r="D92" s="935"/>
      <c r="E92" s="935"/>
      <c r="F92" s="935"/>
      <c r="G92" s="935"/>
      <c r="H92" s="935"/>
      <c r="I92" s="935"/>
      <c r="J92" s="935"/>
      <c r="K92" s="935"/>
      <c r="L92" s="935"/>
      <c r="M92" s="935"/>
      <c r="N92" s="935"/>
      <c r="O92" s="935"/>
      <c r="P92" s="935"/>
      <c r="Q92" s="935"/>
      <c r="R92" s="935"/>
      <c r="S92" s="935"/>
      <c r="T92" s="935"/>
      <c r="U92" s="935"/>
      <c r="V92" s="935"/>
      <c r="W92" s="935"/>
      <c r="X92" s="935"/>
      <c r="Y92" s="935"/>
      <c r="Z92" s="935"/>
      <c r="AA92" s="935"/>
      <c r="AB92" s="935"/>
      <c r="AC92" s="935"/>
      <c r="AD92" s="935"/>
      <c r="AE92" s="935"/>
      <c r="AF92" s="935"/>
      <c r="AG92" s="935"/>
      <c r="AH92" s="935"/>
      <c r="AI92" s="935"/>
      <c r="AJ92" s="935"/>
      <c r="AK92" s="935"/>
      <c r="AL92" s="935"/>
      <c r="AM92" s="935"/>
      <c r="AN92" s="935"/>
      <c r="AO92" s="935"/>
      <c r="AP92" s="935"/>
      <c r="AQ92" s="935"/>
      <c r="AR92" s="935"/>
      <c r="AS92" s="935"/>
      <c r="AT92" s="935"/>
      <c r="AU92" s="935"/>
      <c r="AV92" s="935"/>
      <c r="AW92" s="935"/>
      <c r="AX92" s="935"/>
      <c r="AY92" s="935"/>
      <c r="AZ92" s="935"/>
      <c r="BA92" s="935"/>
      <c r="BB92" s="935"/>
      <c r="BC92" s="935"/>
      <c r="BD92" s="935"/>
      <c r="BE92" s="935"/>
      <c r="BF92" s="935"/>
      <c r="BG92" s="935"/>
      <c r="BH92" s="935"/>
      <c r="BI92" s="935"/>
      <c r="BJ92" s="935"/>
      <c r="BK92" s="935"/>
      <c r="BL92" s="935"/>
      <c r="BM92" s="935"/>
      <c r="BN92" s="935"/>
      <c r="BO92" s="935"/>
      <c r="BP92" s="935"/>
      <c r="BQ92" s="935"/>
      <c r="BR92" s="935"/>
      <c r="BS92" s="935"/>
      <c r="BT92" s="935"/>
    </row>
    <row r="93" spans="1:72" x14ac:dyDescent="0.25">
      <c r="A93" s="935" t="s">
        <v>609</v>
      </c>
      <c r="B93" s="935">
        <v>22.01</v>
      </c>
      <c r="C93" s="935">
        <v>24.2</v>
      </c>
      <c r="D93" s="935">
        <v>18.64</v>
      </c>
      <c r="E93" s="935">
        <v>18.36</v>
      </c>
      <c r="F93" s="935">
        <v>18.46</v>
      </c>
      <c r="G93" s="935">
        <v>19.61</v>
      </c>
      <c r="H93" s="935">
        <v>20.9</v>
      </c>
      <c r="I93" s="935">
        <v>21.9</v>
      </c>
      <c r="J93" s="935">
        <v>22.49</v>
      </c>
      <c r="K93" s="935">
        <v>23.25</v>
      </c>
      <c r="L93" s="935">
        <v>23.76</v>
      </c>
      <c r="M93" s="935">
        <v>24.31</v>
      </c>
      <c r="N93" s="935">
        <v>24.62</v>
      </c>
      <c r="O93" s="935">
        <v>24.86</v>
      </c>
      <c r="P93" s="935">
        <v>25.09</v>
      </c>
      <c r="Q93" s="935">
        <v>25.3</v>
      </c>
      <c r="R93" s="935">
        <v>25.59</v>
      </c>
      <c r="S93" s="935">
        <v>25.86</v>
      </c>
      <c r="T93" s="935">
        <v>26.12</v>
      </c>
      <c r="U93" s="935">
        <v>26.27</v>
      </c>
      <c r="V93" s="935">
        <v>26.55</v>
      </c>
      <c r="W93" s="935">
        <v>26.8</v>
      </c>
      <c r="X93" s="935">
        <v>27.15</v>
      </c>
      <c r="Y93" s="935">
        <v>27.38</v>
      </c>
      <c r="Z93" s="935">
        <v>27.74</v>
      </c>
      <c r="AA93" s="935">
        <v>28.08</v>
      </c>
      <c r="AB93" s="935">
        <v>28.48</v>
      </c>
      <c r="AC93" s="935">
        <v>28.86</v>
      </c>
      <c r="AD93" s="935">
        <v>29.25</v>
      </c>
      <c r="AE93" s="974">
        <v>7.0000000000000001E-3</v>
      </c>
      <c r="AF93" s="935"/>
      <c r="AG93" s="935"/>
      <c r="AH93" s="935"/>
      <c r="AI93" s="935"/>
      <c r="AJ93" s="935"/>
      <c r="AK93" s="935"/>
      <c r="AL93" s="935"/>
      <c r="AM93" s="935"/>
      <c r="AN93" s="935"/>
      <c r="AO93" s="935"/>
      <c r="AP93" s="935"/>
      <c r="AQ93" s="935"/>
      <c r="AR93" s="935"/>
      <c r="AS93" s="935"/>
      <c r="AT93" s="935"/>
      <c r="AU93" s="935"/>
      <c r="AV93" s="935"/>
      <c r="AW93" s="935"/>
      <c r="AX93" s="935"/>
      <c r="AY93" s="935"/>
      <c r="AZ93" s="935"/>
      <c r="BA93" s="935"/>
      <c r="BB93" s="935"/>
      <c r="BC93" s="935"/>
      <c r="BD93" s="935"/>
      <c r="BE93" s="935"/>
      <c r="BF93" s="935"/>
      <c r="BG93" s="935"/>
      <c r="BH93" s="935"/>
      <c r="BI93" s="935"/>
      <c r="BJ93" s="935"/>
      <c r="BK93" s="935"/>
      <c r="BL93" s="935"/>
      <c r="BM93" s="935"/>
      <c r="BN93" s="935"/>
      <c r="BO93" s="935"/>
      <c r="BP93" s="935"/>
      <c r="BQ93" s="935"/>
      <c r="BR93" s="935"/>
      <c r="BS93" s="935"/>
      <c r="BT93" s="935"/>
    </row>
    <row r="94" spans="1:72" x14ac:dyDescent="0.25">
      <c r="A94" s="935" t="s">
        <v>610</v>
      </c>
      <c r="B94" s="935">
        <v>18.07</v>
      </c>
      <c r="C94" s="935">
        <v>22.31</v>
      </c>
      <c r="D94" s="935">
        <v>16.399999999999999</v>
      </c>
      <c r="E94" s="935">
        <v>14.38</v>
      </c>
      <c r="F94" s="935">
        <v>15.38</v>
      </c>
      <c r="G94" s="935">
        <v>16.55</v>
      </c>
      <c r="H94" s="935">
        <v>17.59</v>
      </c>
      <c r="I94" s="935">
        <v>18.32</v>
      </c>
      <c r="J94" s="935">
        <v>19</v>
      </c>
      <c r="K94" s="935">
        <v>19.8</v>
      </c>
      <c r="L94" s="935">
        <v>20.440000000000001</v>
      </c>
      <c r="M94" s="935">
        <v>21.08</v>
      </c>
      <c r="N94" s="935">
        <v>21.49</v>
      </c>
      <c r="O94" s="935">
        <v>21.83</v>
      </c>
      <c r="P94" s="935">
        <v>22.03</v>
      </c>
      <c r="Q94" s="935">
        <v>22.36</v>
      </c>
      <c r="R94" s="935">
        <v>22.56</v>
      </c>
      <c r="S94" s="935">
        <v>22.67</v>
      </c>
      <c r="T94" s="935">
        <v>22.97</v>
      </c>
      <c r="U94" s="935">
        <v>23.22</v>
      </c>
      <c r="V94" s="935">
        <v>23.48</v>
      </c>
      <c r="W94" s="935">
        <v>23.81</v>
      </c>
      <c r="X94" s="935">
        <v>24.22</v>
      </c>
      <c r="Y94" s="935">
        <v>24.4</v>
      </c>
      <c r="Z94" s="935">
        <v>24.84</v>
      </c>
      <c r="AA94" s="935">
        <v>25.25</v>
      </c>
      <c r="AB94" s="935">
        <v>25.6</v>
      </c>
      <c r="AC94" s="935">
        <v>26.02</v>
      </c>
      <c r="AD94" s="935">
        <v>26.48</v>
      </c>
      <c r="AE94" s="974">
        <v>6.0000000000000001E-3</v>
      </c>
      <c r="AF94" s="935"/>
      <c r="AG94" s="935"/>
      <c r="AH94" s="935"/>
      <c r="AI94" s="935"/>
      <c r="AJ94" s="935"/>
      <c r="AK94" s="935"/>
      <c r="AL94" s="935"/>
      <c r="AM94" s="935"/>
      <c r="AN94" s="935"/>
      <c r="AO94" s="935"/>
      <c r="AP94" s="935"/>
      <c r="AQ94" s="935"/>
      <c r="AR94" s="935"/>
      <c r="AS94" s="935"/>
      <c r="AT94" s="935"/>
      <c r="AU94" s="935"/>
      <c r="AV94" s="935"/>
      <c r="AW94" s="935"/>
      <c r="AX94" s="935"/>
      <c r="AY94" s="935"/>
      <c r="AZ94" s="935"/>
      <c r="BA94" s="935"/>
      <c r="BB94" s="935"/>
      <c r="BC94" s="935"/>
      <c r="BD94" s="935"/>
      <c r="BE94" s="935"/>
      <c r="BF94" s="935"/>
      <c r="BG94" s="935"/>
      <c r="BH94" s="935"/>
      <c r="BI94" s="935"/>
      <c r="BJ94" s="935"/>
      <c r="BK94" s="935"/>
      <c r="BL94" s="935"/>
      <c r="BM94" s="935"/>
      <c r="BN94" s="935"/>
      <c r="BO94" s="935"/>
      <c r="BP94" s="935"/>
      <c r="BQ94" s="935"/>
      <c r="BR94" s="935"/>
      <c r="BS94" s="935"/>
      <c r="BT94" s="935"/>
    </row>
    <row r="95" spans="1:72" x14ac:dyDescent="0.25">
      <c r="A95" s="935" t="s">
        <v>611</v>
      </c>
      <c r="B95" s="935">
        <v>8.84</v>
      </c>
      <c r="C95" s="935">
        <v>16.309999999999999</v>
      </c>
      <c r="D95" s="935">
        <v>9.75</v>
      </c>
      <c r="E95" s="935">
        <v>13.12</v>
      </c>
      <c r="F95" s="935">
        <v>13.24</v>
      </c>
      <c r="G95" s="935">
        <v>14.32</v>
      </c>
      <c r="H95" s="935">
        <v>15.31</v>
      </c>
      <c r="I95" s="935">
        <v>16.079999999999998</v>
      </c>
      <c r="J95" s="935">
        <v>16.47</v>
      </c>
      <c r="K95" s="935">
        <v>16.96</v>
      </c>
      <c r="L95" s="935">
        <v>17.37</v>
      </c>
      <c r="M95" s="935">
        <v>17.82</v>
      </c>
      <c r="N95" s="935">
        <v>18.09</v>
      </c>
      <c r="O95" s="935">
        <v>18.2</v>
      </c>
      <c r="P95" s="935">
        <v>18.43</v>
      </c>
      <c r="Q95" s="935">
        <v>18.61</v>
      </c>
      <c r="R95" s="935">
        <v>18.82</v>
      </c>
      <c r="S95" s="935">
        <v>19.03</v>
      </c>
      <c r="T95" s="935">
        <v>19.23</v>
      </c>
      <c r="U95" s="935">
        <v>19.3</v>
      </c>
      <c r="V95" s="935">
        <v>19.489999999999998</v>
      </c>
      <c r="W95" s="935">
        <v>19.73</v>
      </c>
      <c r="X95" s="935">
        <v>19.98</v>
      </c>
      <c r="Y95" s="935">
        <v>20.27</v>
      </c>
      <c r="Z95" s="935">
        <v>20.61</v>
      </c>
      <c r="AA95" s="935">
        <v>20.87</v>
      </c>
      <c r="AB95" s="935">
        <v>21.12</v>
      </c>
      <c r="AC95" s="935">
        <v>21.44</v>
      </c>
      <c r="AD95" s="935">
        <v>21.72</v>
      </c>
      <c r="AE95" s="974">
        <v>1.0999999999999999E-2</v>
      </c>
      <c r="AF95" s="935"/>
      <c r="AG95" s="935"/>
      <c r="AH95" s="935"/>
      <c r="AI95" s="935"/>
      <c r="AJ95" s="935"/>
      <c r="AK95" s="935"/>
      <c r="AL95" s="935"/>
      <c r="AM95" s="935"/>
      <c r="AN95" s="935"/>
      <c r="AO95" s="935"/>
      <c r="AP95" s="935"/>
      <c r="AQ95" s="935"/>
      <c r="AR95" s="935"/>
      <c r="AS95" s="935"/>
      <c r="AT95" s="935"/>
      <c r="AU95" s="935"/>
      <c r="AV95" s="935"/>
      <c r="AW95" s="935"/>
      <c r="AX95" s="935"/>
      <c r="AY95" s="935"/>
      <c r="AZ95" s="935"/>
      <c r="BA95" s="935"/>
      <c r="BB95" s="935"/>
      <c r="BC95" s="935"/>
      <c r="BD95" s="935"/>
      <c r="BE95" s="935"/>
      <c r="BF95" s="935"/>
      <c r="BG95" s="935"/>
      <c r="BH95" s="935"/>
      <c r="BI95" s="935"/>
      <c r="BJ95" s="935"/>
      <c r="BK95" s="935"/>
      <c r="BL95" s="935"/>
      <c r="BM95" s="935"/>
      <c r="BN95" s="935"/>
      <c r="BO95" s="935"/>
      <c r="BP95" s="935"/>
      <c r="BQ95" s="935"/>
      <c r="BR95" s="935"/>
      <c r="BS95" s="935"/>
      <c r="BT95" s="935"/>
    </row>
    <row r="96" spans="1:72" x14ac:dyDescent="0.25">
      <c r="A96" s="935" t="s">
        <v>613</v>
      </c>
      <c r="B96" s="935">
        <v>7.58</v>
      </c>
      <c r="C96" s="935">
        <v>9.11</v>
      </c>
      <c r="D96" s="935">
        <v>4.2</v>
      </c>
      <c r="E96" s="935">
        <v>4.87</v>
      </c>
      <c r="F96" s="935">
        <v>5.97</v>
      </c>
      <c r="G96" s="935">
        <v>6.39</v>
      </c>
      <c r="H96" s="935">
        <v>6.33</v>
      </c>
      <c r="I96" s="935">
        <v>6.28</v>
      </c>
      <c r="J96" s="935">
        <v>6.45</v>
      </c>
      <c r="K96" s="935">
        <v>6.52</v>
      </c>
      <c r="L96" s="935">
        <v>6.51</v>
      </c>
      <c r="M96" s="935">
        <v>6.55</v>
      </c>
      <c r="N96" s="935">
        <v>6.6</v>
      </c>
      <c r="O96" s="935">
        <v>6.7</v>
      </c>
      <c r="P96" s="935">
        <v>6.78</v>
      </c>
      <c r="Q96" s="935">
        <v>6.96</v>
      </c>
      <c r="R96" s="935">
        <v>7.01</v>
      </c>
      <c r="S96" s="935">
        <v>6.96</v>
      </c>
      <c r="T96" s="935">
        <v>7.02</v>
      </c>
      <c r="U96" s="935">
        <v>7.15</v>
      </c>
      <c r="V96" s="935">
        <v>7.29</v>
      </c>
      <c r="W96" s="935">
        <v>7.51</v>
      </c>
      <c r="X96" s="935">
        <v>7.73</v>
      </c>
      <c r="Y96" s="935">
        <v>7.98</v>
      </c>
      <c r="Z96" s="935">
        <v>8.2899999999999991</v>
      </c>
      <c r="AA96" s="935">
        <v>8.4</v>
      </c>
      <c r="AB96" s="935">
        <v>8.42</v>
      </c>
      <c r="AC96" s="935">
        <v>8.61</v>
      </c>
      <c r="AD96" s="935">
        <v>8.73</v>
      </c>
      <c r="AE96" s="974">
        <v>-2E-3</v>
      </c>
      <c r="AF96" s="935"/>
      <c r="AG96" s="935"/>
      <c r="AH96" s="935"/>
      <c r="AI96" s="935"/>
      <c r="AJ96" s="935"/>
      <c r="AK96" s="935"/>
      <c r="AL96" s="935"/>
      <c r="AM96" s="935"/>
      <c r="AN96" s="935"/>
      <c r="AO96" s="935"/>
      <c r="AP96" s="935"/>
      <c r="AQ96" s="935"/>
      <c r="AR96" s="935"/>
      <c r="AS96" s="935"/>
      <c r="AT96" s="935"/>
      <c r="AU96" s="935"/>
      <c r="AV96" s="935"/>
      <c r="AW96" s="935"/>
      <c r="AX96" s="935"/>
      <c r="AY96" s="935"/>
      <c r="AZ96" s="935"/>
      <c r="BA96" s="935"/>
      <c r="BB96" s="935"/>
      <c r="BC96" s="935"/>
      <c r="BD96" s="935"/>
      <c r="BE96" s="935"/>
      <c r="BF96" s="935"/>
      <c r="BG96" s="935"/>
      <c r="BH96" s="935"/>
      <c r="BI96" s="935"/>
      <c r="BJ96" s="935"/>
      <c r="BK96" s="935"/>
      <c r="BL96" s="935"/>
      <c r="BM96" s="935"/>
      <c r="BN96" s="935"/>
      <c r="BO96" s="935"/>
      <c r="BP96" s="935"/>
      <c r="BQ96" s="935"/>
      <c r="BR96" s="935"/>
      <c r="BS96" s="935"/>
      <c r="BT96" s="935"/>
    </row>
    <row r="97" spans="1:72" x14ac:dyDescent="0.25">
      <c r="A97" s="935" t="s">
        <v>614</v>
      </c>
      <c r="B97" s="935">
        <v>3.69</v>
      </c>
      <c r="C97" s="935">
        <v>4.49</v>
      </c>
      <c r="D97" s="935">
        <v>4.72</v>
      </c>
      <c r="E97" s="935">
        <v>4.8</v>
      </c>
      <c r="F97" s="935">
        <v>4.8600000000000003</v>
      </c>
      <c r="G97" s="935">
        <v>5.0199999999999996</v>
      </c>
      <c r="H97" s="935">
        <v>5.05</v>
      </c>
      <c r="I97" s="935">
        <v>5.08</v>
      </c>
      <c r="J97" s="935">
        <v>5.08</v>
      </c>
      <c r="K97" s="935">
        <v>5.09</v>
      </c>
      <c r="L97" s="935">
        <v>5.16</v>
      </c>
      <c r="M97" s="935">
        <v>5.22</v>
      </c>
      <c r="N97" s="935">
        <v>5.29</v>
      </c>
      <c r="O97" s="935">
        <v>5.32</v>
      </c>
      <c r="P97" s="935">
        <v>5.35</v>
      </c>
      <c r="Q97" s="935">
        <v>5.36</v>
      </c>
      <c r="R97" s="935">
        <v>5.35</v>
      </c>
      <c r="S97" s="935">
        <v>5.32</v>
      </c>
      <c r="T97" s="935">
        <v>5.24</v>
      </c>
      <c r="U97" s="935">
        <v>5.16</v>
      </c>
      <c r="V97" s="935">
        <v>5.14</v>
      </c>
      <c r="W97" s="935">
        <v>5.14</v>
      </c>
      <c r="X97" s="935">
        <v>5.1100000000000003</v>
      </c>
      <c r="Y97" s="935">
        <v>5.1100000000000003</v>
      </c>
      <c r="Z97" s="935">
        <v>5.09</v>
      </c>
      <c r="AA97" s="935">
        <v>5.08</v>
      </c>
      <c r="AB97" s="935">
        <v>5.08</v>
      </c>
      <c r="AC97" s="935">
        <v>5.0599999999999996</v>
      </c>
      <c r="AD97" s="935">
        <v>5.0599999999999996</v>
      </c>
      <c r="AE97" s="974">
        <v>4.0000000000000001E-3</v>
      </c>
      <c r="AF97" s="935"/>
      <c r="AG97" s="935"/>
      <c r="AH97" s="935"/>
      <c r="AI97" s="935"/>
      <c r="AJ97" s="935"/>
      <c r="AK97" s="935"/>
      <c r="AL97" s="935"/>
      <c r="AM97" s="935"/>
      <c r="AN97" s="935"/>
      <c r="AO97" s="935"/>
      <c r="AP97" s="935"/>
      <c r="AQ97" s="935"/>
      <c r="AR97" s="935"/>
      <c r="AS97" s="935"/>
      <c r="AT97" s="935"/>
      <c r="AU97" s="935"/>
      <c r="AV97" s="935"/>
      <c r="AW97" s="935"/>
      <c r="AX97" s="935"/>
      <c r="AY97" s="935"/>
      <c r="AZ97" s="935"/>
      <c r="BA97" s="935"/>
      <c r="BB97" s="935"/>
      <c r="BC97" s="935"/>
      <c r="BD97" s="935"/>
      <c r="BE97" s="935"/>
      <c r="BF97" s="935"/>
      <c r="BG97" s="935"/>
      <c r="BH97" s="935"/>
      <c r="BI97" s="935"/>
      <c r="BJ97" s="935"/>
      <c r="BK97" s="935"/>
      <c r="BL97" s="935"/>
      <c r="BM97" s="935"/>
      <c r="BN97" s="935"/>
      <c r="BO97" s="935"/>
      <c r="BP97" s="935"/>
      <c r="BQ97" s="935"/>
      <c r="BR97" s="935"/>
      <c r="BS97" s="935"/>
      <c r="BT97" s="935"/>
    </row>
    <row r="98" spans="1:72" x14ac:dyDescent="0.25">
      <c r="A98" s="935" t="s">
        <v>615</v>
      </c>
      <c r="B98" s="935">
        <v>2.48</v>
      </c>
      <c r="C98" s="935">
        <v>2.84</v>
      </c>
      <c r="D98" s="935">
        <v>2.79</v>
      </c>
      <c r="E98" s="935">
        <v>2.69</v>
      </c>
      <c r="F98" s="935">
        <v>2.69</v>
      </c>
      <c r="G98" s="935">
        <v>2.69</v>
      </c>
      <c r="H98" s="935">
        <v>2.66</v>
      </c>
      <c r="I98" s="935">
        <v>2.68</v>
      </c>
      <c r="J98" s="935">
        <v>2.69</v>
      </c>
      <c r="K98" s="935">
        <v>2.68</v>
      </c>
      <c r="L98" s="935">
        <v>2.69</v>
      </c>
      <c r="M98" s="935">
        <v>2.68</v>
      </c>
      <c r="N98" s="935">
        <v>2.67</v>
      </c>
      <c r="O98" s="935">
        <v>2.66</v>
      </c>
      <c r="P98" s="935">
        <v>2.65</v>
      </c>
      <c r="Q98" s="935">
        <v>2.65</v>
      </c>
      <c r="R98" s="935">
        <v>2.63</v>
      </c>
      <c r="S98" s="935">
        <v>2.63</v>
      </c>
      <c r="T98" s="935">
        <v>2.63</v>
      </c>
      <c r="U98" s="935">
        <v>2.64</v>
      </c>
      <c r="V98" s="935">
        <v>2.63</v>
      </c>
      <c r="W98" s="935">
        <v>2.64</v>
      </c>
      <c r="X98" s="935">
        <v>2.65</v>
      </c>
      <c r="Y98" s="935">
        <v>2.66</v>
      </c>
      <c r="Z98" s="935">
        <v>2.67</v>
      </c>
      <c r="AA98" s="935">
        <v>2.67</v>
      </c>
      <c r="AB98" s="935">
        <v>2.69</v>
      </c>
      <c r="AC98" s="935">
        <v>2.7</v>
      </c>
      <c r="AD98" s="935">
        <v>2.71</v>
      </c>
      <c r="AE98" s="974">
        <v>-2E-3</v>
      </c>
      <c r="AF98" s="935"/>
      <c r="AG98" s="935"/>
      <c r="AH98" s="935"/>
      <c r="AI98" s="935"/>
      <c r="AJ98" s="935"/>
      <c r="AK98" s="935"/>
      <c r="AL98" s="935"/>
      <c r="AM98" s="935"/>
      <c r="AN98" s="935"/>
      <c r="AO98" s="935"/>
      <c r="AP98" s="935"/>
      <c r="AQ98" s="935"/>
      <c r="AR98" s="935"/>
      <c r="AS98" s="935"/>
      <c r="AT98" s="935"/>
      <c r="AU98" s="935"/>
      <c r="AV98" s="935"/>
      <c r="AW98" s="935"/>
      <c r="AX98" s="935"/>
      <c r="AY98" s="935"/>
      <c r="AZ98" s="935"/>
      <c r="BA98" s="935"/>
      <c r="BB98" s="935"/>
      <c r="BC98" s="935"/>
      <c r="BD98" s="935"/>
      <c r="BE98" s="935"/>
      <c r="BF98" s="935"/>
      <c r="BG98" s="935"/>
      <c r="BH98" s="935"/>
      <c r="BI98" s="935"/>
      <c r="BJ98" s="935"/>
      <c r="BK98" s="935"/>
      <c r="BL98" s="935"/>
      <c r="BM98" s="935"/>
      <c r="BN98" s="935"/>
      <c r="BO98" s="935"/>
      <c r="BP98" s="935"/>
      <c r="BQ98" s="935"/>
      <c r="BR98" s="935"/>
      <c r="BS98" s="935"/>
      <c r="BT98" s="935"/>
    </row>
    <row r="99" spans="1:72" x14ac:dyDescent="0.25">
      <c r="A99" s="935" t="s">
        <v>616</v>
      </c>
      <c r="B99" s="935" t="s">
        <v>788</v>
      </c>
      <c r="C99" s="935" t="s">
        <v>788</v>
      </c>
      <c r="D99" s="935" t="s">
        <v>788</v>
      </c>
      <c r="E99" s="935" t="s">
        <v>788</v>
      </c>
      <c r="F99" s="935">
        <v>1.26</v>
      </c>
      <c r="G99" s="935">
        <v>1.04</v>
      </c>
      <c r="H99" s="935">
        <v>1.04</v>
      </c>
      <c r="I99" s="935">
        <v>1.41</v>
      </c>
      <c r="J99" s="935">
        <v>1.42</v>
      </c>
      <c r="K99" s="935">
        <v>1.46</v>
      </c>
      <c r="L99" s="935">
        <v>1.48</v>
      </c>
      <c r="M99" s="935">
        <v>1.48</v>
      </c>
      <c r="N99" s="935">
        <v>1.47</v>
      </c>
      <c r="O99" s="935">
        <v>1.46</v>
      </c>
      <c r="P99" s="935">
        <v>1.49</v>
      </c>
      <c r="Q99" s="935">
        <v>1.5</v>
      </c>
      <c r="R99" s="935">
        <v>1.52</v>
      </c>
      <c r="S99" s="935">
        <v>1.49</v>
      </c>
      <c r="T99" s="935">
        <v>1.49</v>
      </c>
      <c r="U99" s="935">
        <v>1.47</v>
      </c>
      <c r="V99" s="935">
        <v>1.46</v>
      </c>
      <c r="W99" s="935">
        <v>1.45</v>
      </c>
      <c r="X99" s="935">
        <v>1.44</v>
      </c>
      <c r="Y99" s="935">
        <v>1.44</v>
      </c>
      <c r="Z99" s="935">
        <v>1.44</v>
      </c>
      <c r="AA99" s="935">
        <v>1.44</v>
      </c>
      <c r="AB99" s="935">
        <v>1.46</v>
      </c>
      <c r="AC99" s="935">
        <v>1.48</v>
      </c>
      <c r="AD99" s="935">
        <v>1.51</v>
      </c>
      <c r="AE99" s="935" t="s">
        <v>788</v>
      </c>
      <c r="AF99" s="935"/>
      <c r="AG99" s="935"/>
      <c r="AH99" s="935"/>
      <c r="AI99" s="935"/>
      <c r="AJ99" s="935"/>
      <c r="AK99" s="935"/>
      <c r="AL99" s="935"/>
      <c r="AM99" s="935"/>
      <c r="AN99" s="935"/>
      <c r="AO99" s="935"/>
      <c r="AP99" s="935"/>
      <c r="AQ99" s="935"/>
      <c r="AR99" s="935"/>
      <c r="AS99" s="935"/>
      <c r="AT99" s="935"/>
      <c r="AU99" s="935"/>
      <c r="AV99" s="935"/>
      <c r="AW99" s="935"/>
      <c r="AX99" s="935"/>
      <c r="AY99" s="935"/>
      <c r="AZ99" s="935"/>
      <c r="BA99" s="935"/>
      <c r="BB99" s="935"/>
      <c r="BC99" s="935"/>
      <c r="BD99" s="935"/>
      <c r="BE99" s="935"/>
      <c r="BF99" s="935"/>
      <c r="BG99" s="935"/>
      <c r="BH99" s="935"/>
      <c r="BI99" s="935"/>
      <c r="BJ99" s="935"/>
      <c r="BK99" s="935"/>
      <c r="BL99" s="935"/>
      <c r="BM99" s="935"/>
      <c r="BN99" s="935"/>
      <c r="BO99" s="935"/>
      <c r="BP99" s="935"/>
      <c r="BQ99" s="935"/>
      <c r="BR99" s="935"/>
      <c r="BS99" s="935"/>
      <c r="BT99" s="935"/>
    </row>
    <row r="100" spans="1:72" x14ac:dyDescent="0.25">
      <c r="A100" s="935" t="s">
        <v>479</v>
      </c>
      <c r="B100" s="935">
        <v>19.02</v>
      </c>
      <c r="C100" s="935">
        <v>20.21</v>
      </c>
      <c r="D100" s="935">
        <v>20.04</v>
      </c>
      <c r="E100" s="935">
        <v>19.149999999999999</v>
      </c>
      <c r="F100" s="935">
        <v>17.11</v>
      </c>
      <c r="G100" s="935">
        <v>17.73</v>
      </c>
      <c r="H100" s="935">
        <v>17.62</v>
      </c>
      <c r="I100" s="935">
        <v>17.350000000000001</v>
      </c>
      <c r="J100" s="935">
        <v>17.37</v>
      </c>
      <c r="K100" s="935">
        <v>17.62</v>
      </c>
      <c r="L100" s="935">
        <v>17.75</v>
      </c>
      <c r="M100" s="935">
        <v>17.77</v>
      </c>
      <c r="N100" s="935">
        <v>17.75</v>
      </c>
      <c r="O100" s="935">
        <v>17.920000000000002</v>
      </c>
      <c r="P100" s="935">
        <v>18.07</v>
      </c>
      <c r="Q100" s="935">
        <v>18.190000000000001</v>
      </c>
      <c r="R100" s="935">
        <v>18.38</v>
      </c>
      <c r="S100" s="935">
        <v>18.53</v>
      </c>
      <c r="T100" s="935">
        <v>18.5</v>
      </c>
      <c r="U100" s="935">
        <v>18.61</v>
      </c>
      <c r="V100" s="935">
        <v>18.78</v>
      </c>
      <c r="W100" s="935">
        <v>18.97</v>
      </c>
      <c r="X100" s="935">
        <v>19.3</v>
      </c>
      <c r="Y100" s="935">
        <v>19.579999999999998</v>
      </c>
      <c r="Z100" s="935">
        <v>19.88</v>
      </c>
      <c r="AA100" s="935">
        <v>20.16</v>
      </c>
      <c r="AB100" s="935">
        <v>20.3</v>
      </c>
      <c r="AC100" s="935">
        <v>20.52</v>
      </c>
      <c r="AD100" s="935">
        <v>20.71</v>
      </c>
      <c r="AE100" s="974">
        <v>1E-3</v>
      </c>
      <c r="AF100" s="935"/>
      <c r="AG100" s="935"/>
      <c r="AH100" s="935"/>
      <c r="AI100" s="935"/>
      <c r="AJ100" s="935"/>
      <c r="AK100" s="935"/>
      <c r="AL100" s="935"/>
      <c r="AM100" s="935"/>
      <c r="AN100" s="935"/>
      <c r="AO100" s="935"/>
      <c r="AP100" s="935"/>
      <c r="AQ100" s="935"/>
      <c r="AR100" s="935"/>
      <c r="AS100" s="935"/>
      <c r="AT100" s="935"/>
      <c r="AU100" s="935"/>
      <c r="AV100" s="935"/>
      <c r="AW100" s="935"/>
      <c r="AX100" s="935"/>
      <c r="AY100" s="935"/>
      <c r="AZ100" s="935"/>
      <c r="BA100" s="935"/>
      <c r="BB100" s="935"/>
      <c r="BC100" s="935"/>
      <c r="BD100" s="935"/>
      <c r="BE100" s="935"/>
      <c r="BF100" s="935"/>
      <c r="BG100" s="935"/>
      <c r="BH100" s="935"/>
      <c r="BI100" s="935"/>
      <c r="BJ100" s="935"/>
      <c r="BK100" s="935"/>
      <c r="BL100" s="935"/>
      <c r="BM100" s="935"/>
      <c r="BN100" s="935"/>
      <c r="BO100" s="935"/>
      <c r="BP100" s="935"/>
      <c r="BQ100" s="935"/>
      <c r="BR100" s="935"/>
      <c r="BS100" s="935"/>
      <c r="BT100" s="935"/>
    </row>
    <row r="101" spans="1:72" x14ac:dyDescent="0.25">
      <c r="A101" s="935"/>
      <c r="B101" s="935"/>
      <c r="C101" s="935"/>
      <c r="D101" s="935"/>
      <c r="E101" s="935"/>
      <c r="F101" s="935"/>
      <c r="G101" s="935"/>
      <c r="H101" s="935"/>
      <c r="I101" s="935"/>
      <c r="J101" s="935"/>
      <c r="K101" s="935"/>
      <c r="L101" s="935"/>
      <c r="M101" s="935"/>
      <c r="N101" s="935"/>
      <c r="O101" s="935"/>
      <c r="P101" s="935"/>
      <c r="Q101" s="935"/>
      <c r="R101" s="935"/>
      <c r="S101" s="935"/>
      <c r="T101" s="935"/>
      <c r="U101" s="935"/>
      <c r="V101" s="935"/>
      <c r="W101" s="935"/>
      <c r="X101" s="935"/>
      <c r="Y101" s="935"/>
      <c r="Z101" s="935"/>
      <c r="AA101" s="935"/>
      <c r="AB101" s="935"/>
      <c r="AC101" s="935"/>
      <c r="AD101" s="935"/>
      <c r="AE101" s="935"/>
      <c r="AF101" s="935"/>
      <c r="AG101" s="935"/>
      <c r="AH101" s="935"/>
      <c r="AI101" s="935"/>
      <c r="AJ101" s="935"/>
      <c r="AK101" s="935"/>
      <c r="AL101" s="935"/>
      <c r="AM101" s="935"/>
      <c r="AN101" s="935"/>
      <c r="AO101" s="935"/>
      <c r="AP101" s="935"/>
      <c r="AQ101" s="935"/>
      <c r="AR101" s="935"/>
      <c r="AS101" s="935"/>
      <c r="AT101" s="935"/>
      <c r="AU101" s="935"/>
      <c r="AV101" s="935"/>
      <c r="AW101" s="935"/>
      <c r="AX101" s="935"/>
      <c r="AY101" s="935"/>
      <c r="AZ101" s="935"/>
      <c r="BA101" s="935"/>
      <c r="BB101" s="935"/>
      <c r="BC101" s="935"/>
      <c r="BD101" s="935"/>
      <c r="BE101" s="935"/>
      <c r="BF101" s="935"/>
      <c r="BG101" s="935"/>
      <c r="BH101" s="935"/>
      <c r="BI101" s="935"/>
      <c r="BJ101" s="935"/>
      <c r="BK101" s="935"/>
      <c r="BL101" s="935"/>
      <c r="BM101" s="935"/>
      <c r="BN101" s="935"/>
      <c r="BO101" s="935"/>
      <c r="BP101" s="935"/>
      <c r="BQ101" s="935"/>
      <c r="BR101" s="935"/>
      <c r="BS101" s="935"/>
      <c r="BT101" s="935"/>
    </row>
    <row r="102" spans="1:72" x14ac:dyDescent="0.25">
      <c r="A102" s="935" t="s">
        <v>487</v>
      </c>
      <c r="B102" s="935"/>
      <c r="C102" s="935"/>
      <c r="D102" s="935"/>
      <c r="E102" s="935"/>
      <c r="F102" s="935"/>
      <c r="G102" s="935"/>
      <c r="H102" s="935"/>
      <c r="I102" s="935"/>
      <c r="J102" s="935"/>
      <c r="K102" s="935"/>
      <c r="L102" s="935"/>
      <c r="M102" s="935"/>
      <c r="N102" s="935"/>
      <c r="O102" s="935"/>
      <c r="P102" s="935"/>
      <c r="Q102" s="935"/>
      <c r="R102" s="935"/>
      <c r="S102" s="935"/>
      <c r="T102" s="935"/>
      <c r="U102" s="935"/>
      <c r="V102" s="935"/>
      <c r="W102" s="935"/>
      <c r="X102" s="935"/>
      <c r="Y102" s="935"/>
      <c r="Z102" s="935"/>
      <c r="AA102" s="935"/>
      <c r="AB102" s="935"/>
      <c r="AC102" s="935"/>
      <c r="AD102" s="935"/>
      <c r="AE102" s="935"/>
      <c r="AF102" s="935"/>
      <c r="AG102" s="935"/>
      <c r="AH102" s="935"/>
      <c r="AI102" s="935"/>
      <c r="AJ102" s="935"/>
      <c r="AK102" s="935"/>
      <c r="AL102" s="935"/>
      <c r="AM102" s="935"/>
      <c r="AN102" s="935"/>
      <c r="AO102" s="935"/>
      <c r="AP102" s="935"/>
      <c r="AQ102" s="935"/>
      <c r="AR102" s="935"/>
      <c r="AS102" s="935"/>
      <c r="AT102" s="935"/>
      <c r="AU102" s="935"/>
      <c r="AV102" s="935"/>
      <c r="AW102" s="935"/>
      <c r="AX102" s="935"/>
      <c r="AY102" s="935"/>
      <c r="AZ102" s="935"/>
      <c r="BA102" s="935"/>
      <c r="BB102" s="935"/>
      <c r="BC102" s="935"/>
      <c r="BD102" s="935"/>
      <c r="BE102" s="935"/>
      <c r="BF102" s="935"/>
      <c r="BG102" s="935"/>
      <c r="BH102" s="935"/>
      <c r="BI102" s="935"/>
      <c r="BJ102" s="935"/>
      <c r="BK102" s="935"/>
      <c r="BL102" s="935"/>
      <c r="BM102" s="935"/>
      <c r="BN102" s="935"/>
      <c r="BO102" s="935"/>
      <c r="BP102" s="935"/>
      <c r="BQ102" s="935"/>
      <c r="BR102" s="935"/>
      <c r="BS102" s="935"/>
      <c r="BT102" s="935"/>
    </row>
    <row r="103" spans="1:72" x14ac:dyDescent="0.25">
      <c r="A103" s="935" t="s">
        <v>617</v>
      </c>
      <c r="B103" s="935">
        <v>23.83</v>
      </c>
      <c r="C103" s="935">
        <v>29.93</v>
      </c>
      <c r="D103" s="935">
        <v>25.2</v>
      </c>
      <c r="E103" s="935">
        <v>23.89</v>
      </c>
      <c r="F103" s="935">
        <v>23.98</v>
      </c>
      <c r="G103" s="935">
        <v>25.13</v>
      </c>
      <c r="H103" s="935">
        <v>26.33</v>
      </c>
      <c r="I103" s="935">
        <v>27.29</v>
      </c>
      <c r="J103" s="935">
        <v>27.88</v>
      </c>
      <c r="K103" s="935">
        <v>28.53</v>
      </c>
      <c r="L103" s="935">
        <v>29.07</v>
      </c>
      <c r="M103" s="935">
        <v>29.65</v>
      </c>
      <c r="N103" s="935">
        <v>29.91</v>
      </c>
      <c r="O103" s="935">
        <v>30.13</v>
      </c>
      <c r="P103" s="935">
        <v>30.36</v>
      </c>
      <c r="Q103" s="935">
        <v>30.56</v>
      </c>
      <c r="R103" s="935">
        <v>30.83</v>
      </c>
      <c r="S103" s="935">
        <v>31.1</v>
      </c>
      <c r="T103" s="935">
        <v>31.36</v>
      </c>
      <c r="U103" s="935">
        <v>31.5</v>
      </c>
      <c r="V103" s="935">
        <v>31.77</v>
      </c>
      <c r="W103" s="935">
        <v>32.01</v>
      </c>
      <c r="X103" s="935">
        <v>32.36</v>
      </c>
      <c r="Y103" s="935">
        <v>32.58</v>
      </c>
      <c r="Z103" s="935">
        <v>32.93</v>
      </c>
      <c r="AA103" s="935">
        <v>33.26</v>
      </c>
      <c r="AB103" s="935">
        <v>33.64</v>
      </c>
      <c r="AC103" s="935">
        <v>34</v>
      </c>
      <c r="AD103" s="935">
        <v>34.380000000000003</v>
      </c>
      <c r="AE103" s="974">
        <v>5.0000000000000001E-3</v>
      </c>
      <c r="AF103" s="935"/>
      <c r="AG103" s="935"/>
      <c r="AH103" s="935"/>
      <c r="AI103" s="935"/>
      <c r="AJ103" s="935"/>
      <c r="AK103" s="935"/>
      <c r="AL103" s="935"/>
      <c r="AM103" s="935"/>
      <c r="AN103" s="935"/>
      <c r="AO103" s="935"/>
      <c r="AP103" s="935"/>
      <c r="AQ103" s="935"/>
      <c r="AR103" s="935"/>
      <c r="AS103" s="935"/>
      <c r="AT103" s="935"/>
      <c r="AU103" s="935"/>
      <c r="AV103" s="935"/>
      <c r="AW103" s="935"/>
      <c r="AX103" s="935"/>
      <c r="AY103" s="935"/>
      <c r="AZ103" s="935"/>
      <c r="BA103" s="935"/>
      <c r="BB103" s="935"/>
      <c r="BC103" s="935"/>
      <c r="BD103" s="935"/>
      <c r="BE103" s="935"/>
      <c r="BF103" s="935"/>
      <c r="BG103" s="935"/>
      <c r="BH103" s="935"/>
      <c r="BI103" s="935"/>
      <c r="BJ103" s="935"/>
      <c r="BK103" s="935"/>
      <c r="BL103" s="935"/>
      <c r="BM103" s="935"/>
      <c r="BN103" s="935"/>
      <c r="BO103" s="935"/>
      <c r="BP103" s="935"/>
      <c r="BQ103" s="935"/>
      <c r="BR103" s="935"/>
      <c r="BS103" s="935"/>
      <c r="BT103" s="935"/>
    </row>
    <row r="104" spans="1:72" x14ac:dyDescent="0.25">
      <c r="A104" s="935" t="s">
        <v>618</v>
      </c>
      <c r="B104" s="935">
        <v>27.43</v>
      </c>
      <c r="C104" s="935">
        <v>26.93</v>
      </c>
      <c r="D104" s="935">
        <v>23.29</v>
      </c>
      <c r="E104" s="935">
        <v>20.64</v>
      </c>
      <c r="F104" s="935">
        <v>20.97</v>
      </c>
      <c r="G104" s="935">
        <v>22.13</v>
      </c>
      <c r="H104" s="935">
        <v>24.21</v>
      </c>
      <c r="I104" s="935">
        <v>25.23</v>
      </c>
      <c r="J104" s="935">
        <v>25.55</v>
      </c>
      <c r="K104" s="935">
        <v>25.08</v>
      </c>
      <c r="L104" s="935">
        <v>25.9</v>
      </c>
      <c r="M104" s="935">
        <v>26.54</v>
      </c>
      <c r="N104" s="935">
        <v>26.68</v>
      </c>
      <c r="O104" s="935">
        <v>26.95</v>
      </c>
      <c r="P104" s="935">
        <v>27.32</v>
      </c>
      <c r="Q104" s="935">
        <v>27.82</v>
      </c>
      <c r="R104" s="935">
        <v>28.31</v>
      </c>
      <c r="S104" s="935">
        <v>28.55</v>
      </c>
      <c r="T104" s="935">
        <v>28.86</v>
      </c>
      <c r="U104" s="935">
        <v>29.22</v>
      </c>
      <c r="V104" s="935">
        <v>29.49</v>
      </c>
      <c r="W104" s="935">
        <v>30.03</v>
      </c>
      <c r="X104" s="935">
        <v>30.44</v>
      </c>
      <c r="Y104" s="935">
        <v>30.64</v>
      </c>
      <c r="Z104" s="935">
        <v>30.86</v>
      </c>
      <c r="AA104" s="935">
        <v>31.29</v>
      </c>
      <c r="AB104" s="935">
        <v>31.49</v>
      </c>
      <c r="AC104" s="935">
        <v>31.77</v>
      </c>
      <c r="AD104" s="935">
        <v>32.229999999999997</v>
      </c>
      <c r="AE104" s="974">
        <v>7.0000000000000001E-3</v>
      </c>
      <c r="AF104" s="935"/>
      <c r="AG104" s="935"/>
      <c r="AH104" s="935"/>
      <c r="AI104" s="935"/>
      <c r="AJ104" s="935"/>
      <c r="AK104" s="935"/>
      <c r="AL104" s="935"/>
      <c r="AM104" s="935"/>
      <c r="AN104" s="935"/>
      <c r="AO104" s="935"/>
      <c r="AP104" s="935"/>
      <c r="AQ104" s="935"/>
      <c r="AR104" s="935"/>
      <c r="AS104" s="935"/>
      <c r="AT104" s="935"/>
      <c r="AU104" s="935"/>
      <c r="AV104" s="935"/>
      <c r="AW104" s="935"/>
      <c r="AX104" s="935"/>
      <c r="AY104" s="935"/>
      <c r="AZ104" s="935"/>
      <c r="BA104" s="935"/>
      <c r="BB104" s="935"/>
      <c r="BC104" s="935"/>
      <c r="BD104" s="935"/>
      <c r="BE104" s="935"/>
      <c r="BF104" s="935"/>
      <c r="BG104" s="935"/>
      <c r="BH104" s="935"/>
      <c r="BI104" s="935"/>
      <c r="BJ104" s="935"/>
      <c r="BK104" s="935"/>
      <c r="BL104" s="935"/>
      <c r="BM104" s="935"/>
      <c r="BN104" s="935"/>
      <c r="BO104" s="935"/>
      <c r="BP104" s="935"/>
      <c r="BQ104" s="935"/>
      <c r="BR104" s="935"/>
      <c r="BS104" s="935"/>
      <c r="BT104" s="935"/>
    </row>
    <row r="105" spans="1:72" x14ac:dyDescent="0.25">
      <c r="A105" s="935" t="s">
        <v>619</v>
      </c>
      <c r="B105" s="935">
        <v>23.66</v>
      </c>
      <c r="C105" s="935">
        <v>26.76</v>
      </c>
      <c r="D105" s="935">
        <v>19.14</v>
      </c>
      <c r="E105" s="935">
        <v>20.55</v>
      </c>
      <c r="F105" s="935">
        <v>20.88</v>
      </c>
      <c r="G105" s="935">
        <v>22.03</v>
      </c>
      <c r="H105" s="935">
        <v>24.02</v>
      </c>
      <c r="I105" s="935">
        <v>24.94</v>
      </c>
      <c r="J105" s="935">
        <v>25.37</v>
      </c>
      <c r="K105" s="935">
        <v>25.94</v>
      </c>
      <c r="L105" s="935">
        <v>26.47</v>
      </c>
      <c r="M105" s="935">
        <v>26.89</v>
      </c>
      <c r="N105" s="935">
        <v>27.2</v>
      </c>
      <c r="O105" s="935">
        <v>27.59</v>
      </c>
      <c r="P105" s="935">
        <v>27.82</v>
      </c>
      <c r="Q105" s="935">
        <v>28.18</v>
      </c>
      <c r="R105" s="935">
        <v>28.42</v>
      </c>
      <c r="S105" s="935">
        <v>28.54</v>
      </c>
      <c r="T105" s="935">
        <v>28.87</v>
      </c>
      <c r="U105" s="935">
        <v>29.19</v>
      </c>
      <c r="V105" s="935">
        <v>29.47</v>
      </c>
      <c r="W105" s="935">
        <v>29.9</v>
      </c>
      <c r="X105" s="935">
        <v>30.27</v>
      </c>
      <c r="Y105" s="935">
        <v>30.42</v>
      </c>
      <c r="Z105" s="935">
        <v>30.77</v>
      </c>
      <c r="AA105" s="935">
        <v>31.16</v>
      </c>
      <c r="AB105" s="935">
        <v>31.44</v>
      </c>
      <c r="AC105" s="935">
        <v>31.81</v>
      </c>
      <c r="AD105" s="935">
        <v>32.33</v>
      </c>
      <c r="AE105" s="974">
        <v>7.0000000000000001E-3</v>
      </c>
      <c r="AF105" s="935"/>
      <c r="AG105" s="935"/>
      <c r="AH105" s="935"/>
      <c r="AI105" s="935"/>
      <c r="AJ105" s="935"/>
      <c r="AK105" s="935"/>
      <c r="AL105" s="935"/>
      <c r="AM105" s="935"/>
      <c r="AN105" s="935"/>
      <c r="AO105" s="935"/>
      <c r="AP105" s="935"/>
      <c r="AQ105" s="935"/>
      <c r="AR105" s="935"/>
      <c r="AS105" s="935"/>
      <c r="AT105" s="935"/>
      <c r="AU105" s="935"/>
      <c r="AV105" s="935"/>
      <c r="AW105" s="935"/>
      <c r="AX105" s="935"/>
      <c r="AY105" s="935"/>
      <c r="AZ105" s="935"/>
      <c r="BA105" s="935"/>
      <c r="BB105" s="935"/>
      <c r="BC105" s="935"/>
      <c r="BD105" s="935"/>
      <c r="BE105" s="935"/>
      <c r="BF105" s="935"/>
      <c r="BG105" s="935"/>
      <c r="BH105" s="935"/>
      <c r="BI105" s="935"/>
      <c r="BJ105" s="935"/>
      <c r="BK105" s="935"/>
      <c r="BL105" s="935"/>
      <c r="BM105" s="935"/>
      <c r="BN105" s="935"/>
      <c r="BO105" s="935"/>
      <c r="BP105" s="935"/>
      <c r="BQ105" s="935"/>
      <c r="BR105" s="935"/>
      <c r="BS105" s="935"/>
      <c r="BT105" s="935"/>
    </row>
    <row r="106" spans="1:72" x14ac:dyDescent="0.25">
      <c r="A106" s="935" t="s">
        <v>620</v>
      </c>
      <c r="B106" s="935">
        <v>15.77</v>
      </c>
      <c r="C106" s="935">
        <v>22.71</v>
      </c>
      <c r="D106" s="935">
        <v>12.73</v>
      </c>
      <c r="E106" s="935">
        <v>14.79</v>
      </c>
      <c r="F106" s="935">
        <v>15.16</v>
      </c>
      <c r="G106" s="935">
        <v>16.54</v>
      </c>
      <c r="H106" s="935">
        <v>17.690000000000001</v>
      </c>
      <c r="I106" s="935">
        <v>18.46</v>
      </c>
      <c r="J106" s="935">
        <v>19.04</v>
      </c>
      <c r="K106" s="935">
        <v>19.760000000000002</v>
      </c>
      <c r="L106" s="935">
        <v>20.41</v>
      </c>
      <c r="M106" s="935">
        <v>20.97</v>
      </c>
      <c r="N106" s="935">
        <v>21.35</v>
      </c>
      <c r="O106" s="935">
        <v>21.69</v>
      </c>
      <c r="P106" s="935">
        <v>21.85</v>
      </c>
      <c r="Q106" s="935">
        <v>22.09</v>
      </c>
      <c r="R106" s="935">
        <v>22.41</v>
      </c>
      <c r="S106" s="935">
        <v>22.61</v>
      </c>
      <c r="T106" s="935">
        <v>22.92</v>
      </c>
      <c r="U106" s="935">
        <v>23.19</v>
      </c>
      <c r="V106" s="935">
        <v>23.48</v>
      </c>
      <c r="W106" s="935">
        <v>23.9</v>
      </c>
      <c r="X106" s="935">
        <v>24.26</v>
      </c>
      <c r="Y106" s="935">
        <v>24.51</v>
      </c>
      <c r="Z106" s="935">
        <v>24.9</v>
      </c>
      <c r="AA106" s="935">
        <v>25.3</v>
      </c>
      <c r="AB106" s="935">
        <v>25.64</v>
      </c>
      <c r="AC106" s="935">
        <v>26.05</v>
      </c>
      <c r="AD106" s="935">
        <v>26.48</v>
      </c>
      <c r="AE106" s="974">
        <v>6.0000000000000001E-3</v>
      </c>
      <c r="AF106" s="935"/>
      <c r="AG106" s="935"/>
      <c r="AH106" s="935"/>
      <c r="AI106" s="935"/>
      <c r="AJ106" s="935"/>
      <c r="AK106" s="935"/>
      <c r="AL106" s="935"/>
      <c r="AM106" s="935"/>
      <c r="AN106" s="935"/>
      <c r="AO106" s="935"/>
      <c r="AP106" s="935"/>
      <c r="AQ106" s="935"/>
      <c r="AR106" s="935"/>
      <c r="AS106" s="935"/>
      <c r="AT106" s="935"/>
      <c r="AU106" s="935"/>
      <c r="AV106" s="935"/>
      <c r="AW106" s="935"/>
      <c r="AX106" s="935"/>
      <c r="AY106" s="935"/>
      <c r="AZ106" s="935"/>
      <c r="BA106" s="935"/>
      <c r="BB106" s="935"/>
      <c r="BC106" s="935"/>
      <c r="BD106" s="935"/>
      <c r="BE106" s="935"/>
      <c r="BF106" s="935"/>
      <c r="BG106" s="935"/>
      <c r="BH106" s="935"/>
      <c r="BI106" s="935"/>
      <c r="BJ106" s="935"/>
      <c r="BK106" s="935"/>
      <c r="BL106" s="935"/>
      <c r="BM106" s="935"/>
      <c r="BN106" s="935"/>
      <c r="BO106" s="935"/>
      <c r="BP106" s="935"/>
      <c r="BQ106" s="935"/>
      <c r="BR106" s="935"/>
      <c r="BS106" s="935"/>
      <c r="BT106" s="935"/>
    </row>
    <row r="107" spans="1:72" x14ac:dyDescent="0.25">
      <c r="A107" s="935" t="s">
        <v>724</v>
      </c>
      <c r="B107" s="935">
        <v>21.55</v>
      </c>
      <c r="C107" s="935">
        <v>27.65</v>
      </c>
      <c r="D107" s="935">
        <v>17.77</v>
      </c>
      <c r="E107" s="935">
        <v>19.12</v>
      </c>
      <c r="F107" s="935">
        <v>19.309999999999999</v>
      </c>
      <c r="G107" s="935">
        <v>20.51</v>
      </c>
      <c r="H107" s="935">
        <v>21.54</v>
      </c>
      <c r="I107" s="935">
        <v>22.25</v>
      </c>
      <c r="J107" s="935">
        <v>22.93</v>
      </c>
      <c r="K107" s="935">
        <v>23.68</v>
      </c>
      <c r="L107" s="935">
        <v>24.26</v>
      </c>
      <c r="M107" s="935">
        <v>24.91</v>
      </c>
      <c r="N107" s="935">
        <v>25.29</v>
      </c>
      <c r="O107" s="935">
        <v>25.6</v>
      </c>
      <c r="P107" s="935">
        <v>25.79</v>
      </c>
      <c r="Q107" s="935">
        <v>26.12</v>
      </c>
      <c r="R107" s="935">
        <v>26.26</v>
      </c>
      <c r="S107" s="935">
        <v>26.34</v>
      </c>
      <c r="T107" s="935">
        <v>26.63</v>
      </c>
      <c r="U107" s="935">
        <v>26.83</v>
      </c>
      <c r="V107" s="935">
        <v>27.09</v>
      </c>
      <c r="W107" s="935">
        <v>27.4</v>
      </c>
      <c r="X107" s="935">
        <v>27.8</v>
      </c>
      <c r="Y107" s="935">
        <v>27.96</v>
      </c>
      <c r="Z107" s="935">
        <v>28.38</v>
      </c>
      <c r="AA107" s="935">
        <v>28.78</v>
      </c>
      <c r="AB107" s="935">
        <v>29.09</v>
      </c>
      <c r="AC107" s="935">
        <v>29.49</v>
      </c>
      <c r="AD107" s="935">
        <v>29.96</v>
      </c>
      <c r="AE107" s="974">
        <v>3.0000000000000001E-3</v>
      </c>
      <c r="AF107" s="935"/>
      <c r="AG107" s="935"/>
      <c r="AH107" s="935"/>
      <c r="AI107" s="935"/>
      <c r="AJ107" s="935"/>
      <c r="AK107" s="935"/>
      <c r="AL107" s="935"/>
      <c r="AM107" s="935"/>
      <c r="AN107" s="935"/>
      <c r="AO107" s="935"/>
      <c r="AP107" s="935"/>
      <c r="AQ107" s="935"/>
      <c r="AR107" s="935"/>
      <c r="AS107" s="935"/>
      <c r="AT107" s="935"/>
      <c r="AU107" s="935"/>
      <c r="AV107" s="935"/>
      <c r="AW107" s="935"/>
      <c r="AX107" s="935"/>
      <c r="AY107" s="935"/>
      <c r="AZ107" s="935"/>
      <c r="BA107" s="935"/>
      <c r="BB107" s="935"/>
      <c r="BC107" s="935"/>
      <c r="BD107" s="935"/>
      <c r="BE107" s="935"/>
      <c r="BF107" s="935"/>
      <c r="BG107" s="935"/>
      <c r="BH107" s="935"/>
      <c r="BI107" s="935"/>
      <c r="BJ107" s="935"/>
      <c r="BK107" s="935"/>
      <c r="BL107" s="935"/>
      <c r="BM107" s="935"/>
      <c r="BN107" s="935"/>
      <c r="BO107" s="935"/>
      <c r="BP107" s="935"/>
      <c r="BQ107" s="935"/>
      <c r="BR107" s="935"/>
      <c r="BS107" s="935"/>
      <c r="BT107" s="935"/>
    </row>
    <row r="108" spans="1:72" x14ac:dyDescent="0.25">
      <c r="A108" s="935" t="s">
        <v>611</v>
      </c>
      <c r="B108" s="935">
        <v>9.19</v>
      </c>
      <c r="C108" s="935">
        <v>14.49</v>
      </c>
      <c r="D108" s="935">
        <v>8.86</v>
      </c>
      <c r="E108" s="935">
        <v>10.210000000000001</v>
      </c>
      <c r="F108" s="935">
        <v>10.32</v>
      </c>
      <c r="G108" s="935">
        <v>11.5</v>
      </c>
      <c r="H108" s="935">
        <v>12.44</v>
      </c>
      <c r="I108" s="935">
        <v>13.18</v>
      </c>
      <c r="J108" s="935">
        <v>13.58</v>
      </c>
      <c r="K108" s="935">
        <v>13.9</v>
      </c>
      <c r="L108" s="935">
        <v>14.43</v>
      </c>
      <c r="M108" s="935">
        <v>14.81</v>
      </c>
      <c r="N108" s="935">
        <v>14.97</v>
      </c>
      <c r="O108" s="935">
        <v>14.99</v>
      </c>
      <c r="P108" s="935">
        <v>15.23</v>
      </c>
      <c r="Q108" s="935">
        <v>15.34</v>
      </c>
      <c r="R108" s="935">
        <v>15.55</v>
      </c>
      <c r="S108" s="935">
        <v>15.75</v>
      </c>
      <c r="T108" s="935">
        <v>15.93</v>
      </c>
      <c r="U108" s="935">
        <v>15.98</v>
      </c>
      <c r="V108" s="935">
        <v>16.27</v>
      </c>
      <c r="W108" s="935">
        <v>16.5</v>
      </c>
      <c r="X108" s="935">
        <v>16.8</v>
      </c>
      <c r="Y108" s="935">
        <v>17.100000000000001</v>
      </c>
      <c r="Z108" s="935">
        <v>17.420000000000002</v>
      </c>
      <c r="AA108" s="935">
        <v>17.690000000000001</v>
      </c>
      <c r="AB108" s="935">
        <v>17.93</v>
      </c>
      <c r="AC108" s="935">
        <v>18.239999999999998</v>
      </c>
      <c r="AD108" s="935">
        <v>18.600000000000001</v>
      </c>
      <c r="AE108" s="974">
        <v>8.9999999999999993E-3</v>
      </c>
      <c r="AF108" s="935"/>
      <c r="AG108" s="935"/>
      <c r="AH108" s="935"/>
      <c r="AI108" s="935"/>
      <c r="AJ108" s="935"/>
      <c r="AK108" s="935"/>
      <c r="AL108" s="935"/>
      <c r="AM108" s="935"/>
      <c r="AN108" s="935"/>
      <c r="AO108" s="935"/>
      <c r="AP108" s="935"/>
      <c r="AQ108" s="935"/>
      <c r="AR108" s="935"/>
      <c r="AS108" s="935"/>
      <c r="AT108" s="935"/>
      <c r="AU108" s="935"/>
      <c r="AV108" s="935"/>
      <c r="AW108" s="935"/>
      <c r="AX108" s="935"/>
      <c r="AY108" s="935"/>
      <c r="AZ108" s="935"/>
      <c r="BA108" s="935"/>
      <c r="BB108" s="935"/>
      <c r="BC108" s="935"/>
      <c r="BD108" s="935"/>
      <c r="BE108" s="935"/>
      <c r="BF108" s="935"/>
      <c r="BG108" s="935"/>
      <c r="BH108" s="935"/>
      <c r="BI108" s="935"/>
      <c r="BJ108" s="935"/>
      <c r="BK108" s="935"/>
      <c r="BL108" s="935"/>
      <c r="BM108" s="935"/>
      <c r="BN108" s="935"/>
      <c r="BO108" s="935"/>
      <c r="BP108" s="935"/>
      <c r="BQ108" s="935"/>
      <c r="BR108" s="935"/>
      <c r="BS108" s="935"/>
      <c r="BT108" s="935"/>
    </row>
    <row r="109" spans="1:72" x14ac:dyDescent="0.25">
      <c r="A109" s="935" t="s">
        <v>622</v>
      </c>
      <c r="B109" s="935">
        <v>13.84</v>
      </c>
      <c r="C109" s="935">
        <v>15.96</v>
      </c>
      <c r="D109" s="935">
        <v>11.36</v>
      </c>
      <c r="E109" s="935">
        <v>12</v>
      </c>
      <c r="F109" s="935">
        <v>13.09</v>
      </c>
      <c r="G109" s="935">
        <v>13.49</v>
      </c>
      <c r="H109" s="935">
        <v>13.36</v>
      </c>
      <c r="I109" s="935">
        <v>13.25</v>
      </c>
      <c r="J109" s="935">
        <v>13.37</v>
      </c>
      <c r="K109" s="935">
        <v>13.41</v>
      </c>
      <c r="L109" s="935">
        <v>13.38</v>
      </c>
      <c r="M109" s="935">
        <v>13.37</v>
      </c>
      <c r="N109" s="935">
        <v>13.38</v>
      </c>
      <c r="O109" s="935">
        <v>13.44</v>
      </c>
      <c r="P109" s="935">
        <v>13.46</v>
      </c>
      <c r="Q109" s="935">
        <v>13.58</v>
      </c>
      <c r="R109" s="935">
        <v>13.54</v>
      </c>
      <c r="S109" s="935">
        <v>13.41</v>
      </c>
      <c r="T109" s="935">
        <v>13.43</v>
      </c>
      <c r="U109" s="935">
        <v>13.54</v>
      </c>
      <c r="V109" s="935">
        <v>13.65</v>
      </c>
      <c r="W109" s="935">
        <v>13.83</v>
      </c>
      <c r="X109" s="935">
        <v>14</v>
      </c>
      <c r="Y109" s="935">
        <v>14.19</v>
      </c>
      <c r="Z109" s="935">
        <v>14.46</v>
      </c>
      <c r="AA109" s="935">
        <v>14.54</v>
      </c>
      <c r="AB109" s="935">
        <v>14.55</v>
      </c>
      <c r="AC109" s="935">
        <v>14.7</v>
      </c>
      <c r="AD109" s="935">
        <v>14.78</v>
      </c>
      <c r="AE109" s="974">
        <v>-3.0000000000000001E-3</v>
      </c>
      <c r="AF109" s="935"/>
      <c r="AG109" s="935"/>
      <c r="AH109" s="935"/>
      <c r="AI109" s="935"/>
      <c r="AJ109" s="935"/>
      <c r="AK109" s="935"/>
      <c r="AL109" s="935"/>
      <c r="AM109" s="935"/>
      <c r="AN109" s="935"/>
      <c r="AO109" s="935"/>
      <c r="AP109" s="935"/>
      <c r="AQ109" s="935"/>
      <c r="AR109" s="935"/>
      <c r="AS109" s="935"/>
      <c r="AT109" s="935"/>
      <c r="AU109" s="935"/>
      <c r="AV109" s="935"/>
      <c r="AW109" s="935"/>
      <c r="AX109" s="935"/>
      <c r="AY109" s="935"/>
      <c r="AZ109" s="935"/>
      <c r="BA109" s="935"/>
      <c r="BB109" s="935"/>
      <c r="BC109" s="935"/>
      <c r="BD109" s="935"/>
      <c r="BE109" s="935"/>
      <c r="BF109" s="935"/>
      <c r="BG109" s="935"/>
      <c r="BH109" s="935"/>
      <c r="BI109" s="935"/>
      <c r="BJ109" s="935"/>
      <c r="BK109" s="935"/>
      <c r="BL109" s="935"/>
      <c r="BM109" s="935"/>
      <c r="BN109" s="935"/>
      <c r="BO109" s="935"/>
      <c r="BP109" s="935"/>
      <c r="BQ109" s="935"/>
      <c r="BR109" s="935"/>
      <c r="BS109" s="935"/>
      <c r="BT109" s="935"/>
    </row>
    <row r="110" spans="1:72" x14ac:dyDescent="0.25">
      <c r="A110" s="935" t="s">
        <v>479</v>
      </c>
      <c r="B110" s="935">
        <v>32.03</v>
      </c>
      <c r="C110" s="935">
        <v>33.729999999999997</v>
      </c>
      <c r="D110" s="935">
        <v>32.299999999999997</v>
      </c>
      <c r="E110" s="935">
        <v>30.29</v>
      </c>
      <c r="F110" s="935">
        <v>27.63</v>
      </c>
      <c r="G110" s="935">
        <v>29.66</v>
      </c>
      <c r="H110" s="935">
        <v>29.72</v>
      </c>
      <c r="I110" s="935">
        <v>29.07</v>
      </c>
      <c r="J110" s="935">
        <v>28.79</v>
      </c>
      <c r="K110" s="935">
        <v>29.01</v>
      </c>
      <c r="L110" s="935">
        <v>29.04</v>
      </c>
      <c r="M110" s="935">
        <v>28.87</v>
      </c>
      <c r="N110" s="935">
        <v>28.59</v>
      </c>
      <c r="O110" s="935">
        <v>28.55</v>
      </c>
      <c r="P110" s="935">
        <v>28.54</v>
      </c>
      <c r="Q110" s="935">
        <v>28.43</v>
      </c>
      <c r="R110" s="935">
        <v>28.48</v>
      </c>
      <c r="S110" s="935">
        <v>28.64</v>
      </c>
      <c r="T110" s="935">
        <v>28.63</v>
      </c>
      <c r="U110" s="935">
        <v>28.88</v>
      </c>
      <c r="V110" s="935">
        <v>29.32</v>
      </c>
      <c r="W110" s="935">
        <v>29.79</v>
      </c>
      <c r="X110" s="935">
        <v>30.51</v>
      </c>
      <c r="Y110" s="935">
        <v>31.01</v>
      </c>
      <c r="Z110" s="935">
        <v>31.61</v>
      </c>
      <c r="AA110" s="935">
        <v>32.15</v>
      </c>
      <c r="AB110" s="935">
        <v>32.47</v>
      </c>
      <c r="AC110" s="935">
        <v>32.89</v>
      </c>
      <c r="AD110" s="935">
        <v>33.26</v>
      </c>
      <c r="AE110" s="974">
        <v>-1E-3</v>
      </c>
      <c r="AF110" s="935"/>
      <c r="AG110" s="935"/>
      <c r="AH110" s="935"/>
      <c r="AI110" s="935"/>
      <c r="AJ110" s="935"/>
      <c r="AK110" s="935"/>
      <c r="AL110" s="935"/>
      <c r="AM110" s="935"/>
      <c r="AN110" s="935"/>
      <c r="AO110" s="935"/>
      <c r="AP110" s="935"/>
      <c r="AQ110" s="935"/>
      <c r="AR110" s="935"/>
      <c r="AS110" s="935"/>
      <c r="AT110" s="935"/>
      <c r="AU110" s="935"/>
      <c r="AV110" s="935"/>
      <c r="AW110" s="935"/>
      <c r="AX110" s="935"/>
      <c r="AY110" s="935"/>
      <c r="AZ110" s="935"/>
      <c r="BA110" s="935"/>
      <c r="BB110" s="935"/>
      <c r="BC110" s="935"/>
      <c r="BD110" s="935"/>
      <c r="BE110" s="935"/>
      <c r="BF110" s="935"/>
      <c r="BG110" s="935"/>
      <c r="BH110" s="935"/>
      <c r="BI110" s="935"/>
      <c r="BJ110" s="935"/>
      <c r="BK110" s="935"/>
      <c r="BL110" s="935"/>
      <c r="BM110" s="935"/>
      <c r="BN110" s="935"/>
      <c r="BO110" s="935"/>
      <c r="BP110" s="935"/>
      <c r="BQ110" s="935"/>
      <c r="BR110" s="935"/>
      <c r="BS110" s="935"/>
      <c r="BT110" s="935"/>
    </row>
    <row r="111" spans="1:72" x14ac:dyDescent="0.25">
      <c r="A111" s="935"/>
      <c r="B111" s="935"/>
      <c r="C111" s="935"/>
      <c r="D111" s="935"/>
      <c r="E111" s="935"/>
      <c r="F111" s="935"/>
      <c r="G111" s="935"/>
      <c r="H111" s="935"/>
      <c r="I111" s="935"/>
      <c r="J111" s="935"/>
      <c r="K111" s="935"/>
      <c r="L111" s="935"/>
      <c r="M111" s="935"/>
      <c r="N111" s="935"/>
      <c r="O111" s="935"/>
      <c r="P111" s="935"/>
      <c r="Q111" s="935"/>
      <c r="R111" s="935"/>
      <c r="S111" s="935"/>
      <c r="T111" s="935"/>
      <c r="U111" s="935"/>
      <c r="V111" s="935"/>
      <c r="W111" s="935"/>
      <c r="X111" s="935"/>
      <c r="Y111" s="935"/>
      <c r="Z111" s="935"/>
      <c r="AA111" s="935"/>
      <c r="AB111" s="935"/>
      <c r="AC111" s="935"/>
      <c r="AD111" s="935"/>
      <c r="AE111" s="935"/>
      <c r="AF111" s="935"/>
      <c r="AG111" s="935"/>
      <c r="AH111" s="935"/>
      <c r="AI111" s="935"/>
      <c r="AJ111" s="935"/>
      <c r="AK111" s="935"/>
      <c r="AL111" s="935"/>
      <c r="AM111" s="935"/>
      <c r="AN111" s="935"/>
      <c r="AO111" s="935"/>
      <c r="AP111" s="935"/>
      <c r="AQ111" s="935"/>
      <c r="AR111" s="935"/>
      <c r="AS111" s="935"/>
      <c r="AT111" s="935"/>
      <c r="AU111" s="935"/>
      <c r="AV111" s="935"/>
      <c r="AW111" s="935"/>
      <c r="AX111" s="935"/>
      <c r="AY111" s="935"/>
      <c r="AZ111" s="935"/>
      <c r="BA111" s="935"/>
      <c r="BB111" s="935"/>
      <c r="BC111" s="935"/>
      <c r="BD111" s="935"/>
      <c r="BE111" s="935"/>
      <c r="BF111" s="935"/>
      <c r="BG111" s="935"/>
      <c r="BH111" s="935"/>
      <c r="BI111" s="935"/>
      <c r="BJ111" s="935"/>
      <c r="BK111" s="935"/>
      <c r="BL111" s="935"/>
      <c r="BM111" s="935"/>
      <c r="BN111" s="935"/>
      <c r="BO111" s="935"/>
      <c r="BP111" s="935"/>
      <c r="BQ111" s="935"/>
      <c r="BR111" s="935"/>
      <c r="BS111" s="935"/>
      <c r="BT111" s="935"/>
    </row>
    <row r="112" spans="1:72" x14ac:dyDescent="0.25">
      <c r="A112" s="935" t="s">
        <v>623</v>
      </c>
      <c r="B112" s="935"/>
      <c r="C112" s="935"/>
      <c r="D112" s="935"/>
      <c r="E112" s="935"/>
      <c r="F112" s="935"/>
      <c r="G112" s="935"/>
      <c r="H112" s="935"/>
      <c r="I112" s="935"/>
      <c r="J112" s="935"/>
      <c r="K112" s="935"/>
      <c r="L112" s="935"/>
      <c r="M112" s="935"/>
      <c r="N112" s="935"/>
      <c r="O112" s="935"/>
      <c r="P112" s="935"/>
      <c r="Q112" s="935"/>
      <c r="R112" s="935"/>
      <c r="S112" s="935"/>
      <c r="T112" s="935"/>
      <c r="U112" s="935"/>
      <c r="V112" s="935"/>
      <c r="W112" s="935"/>
      <c r="X112" s="935"/>
      <c r="Y112" s="935"/>
      <c r="Z112" s="935"/>
      <c r="AA112" s="935"/>
      <c r="AB112" s="935"/>
      <c r="AC112" s="935"/>
      <c r="AD112" s="935"/>
      <c r="AE112" s="935"/>
      <c r="AF112" s="935"/>
      <c r="AG112" s="935"/>
      <c r="AH112" s="935"/>
      <c r="AI112" s="935"/>
      <c r="AJ112" s="935"/>
      <c r="AK112" s="935"/>
      <c r="AL112" s="935"/>
      <c r="AM112" s="935"/>
      <c r="AN112" s="935"/>
      <c r="AO112" s="935"/>
      <c r="AP112" s="935"/>
      <c r="AQ112" s="935"/>
      <c r="AR112" s="935"/>
      <c r="AS112" s="935"/>
      <c r="AT112" s="935"/>
      <c r="AU112" s="935"/>
      <c r="AV112" s="935"/>
      <c r="AW112" s="935"/>
      <c r="AX112" s="935"/>
      <c r="AY112" s="935"/>
      <c r="AZ112" s="935"/>
      <c r="BA112" s="935"/>
      <c r="BB112" s="935"/>
      <c r="BC112" s="935"/>
      <c r="BD112" s="935"/>
      <c r="BE112" s="935"/>
      <c r="BF112" s="935"/>
      <c r="BG112" s="935"/>
      <c r="BH112" s="935"/>
      <c r="BI112" s="935"/>
      <c r="BJ112" s="935"/>
      <c r="BK112" s="935"/>
      <c r="BL112" s="935"/>
      <c r="BM112" s="935"/>
      <c r="BN112" s="935"/>
      <c r="BO112" s="935"/>
      <c r="BP112" s="935"/>
      <c r="BQ112" s="935"/>
      <c r="BR112" s="935"/>
      <c r="BS112" s="935"/>
      <c r="BT112" s="935"/>
    </row>
    <row r="113" spans="1:72" x14ac:dyDescent="0.25">
      <c r="A113" s="935" t="s">
        <v>610</v>
      </c>
      <c r="B113" s="935">
        <v>15.75</v>
      </c>
      <c r="C113" s="935">
        <v>19.37</v>
      </c>
      <c r="D113" s="935">
        <v>14.24</v>
      </c>
      <c r="E113" s="935">
        <v>13.91</v>
      </c>
      <c r="F113" s="935">
        <v>14.06</v>
      </c>
      <c r="G113" s="935">
        <v>15.2</v>
      </c>
      <c r="H113" s="935">
        <v>16.21</v>
      </c>
      <c r="I113" s="935">
        <v>16.89</v>
      </c>
      <c r="J113" s="935">
        <v>17.36</v>
      </c>
      <c r="K113" s="935">
        <v>18.22</v>
      </c>
      <c r="L113" s="935">
        <v>18.88</v>
      </c>
      <c r="M113" s="935">
        <v>19.510000000000002</v>
      </c>
      <c r="N113" s="935">
        <v>19.920000000000002</v>
      </c>
      <c r="O113" s="935">
        <v>20.25</v>
      </c>
      <c r="P113" s="935">
        <v>20.399999999999999</v>
      </c>
      <c r="Q113" s="935">
        <v>20.58</v>
      </c>
      <c r="R113" s="935">
        <v>20.89</v>
      </c>
      <c r="S113" s="935">
        <v>21.07</v>
      </c>
      <c r="T113" s="935">
        <v>21.35</v>
      </c>
      <c r="U113" s="935">
        <v>21.6</v>
      </c>
      <c r="V113" s="935">
        <v>21.83</v>
      </c>
      <c r="W113" s="935">
        <v>22.14</v>
      </c>
      <c r="X113" s="935">
        <v>22.54</v>
      </c>
      <c r="Y113" s="935">
        <v>22.71</v>
      </c>
      <c r="Z113" s="935">
        <v>23.14</v>
      </c>
      <c r="AA113" s="935">
        <v>23.54</v>
      </c>
      <c r="AB113" s="935">
        <v>23.87</v>
      </c>
      <c r="AC113" s="935">
        <v>24.28</v>
      </c>
      <c r="AD113" s="935">
        <v>24.7</v>
      </c>
      <c r="AE113" s="974">
        <v>8.9999999999999993E-3</v>
      </c>
      <c r="AF113" s="935"/>
      <c r="AG113" s="935"/>
      <c r="AH113" s="935"/>
      <c r="AI113" s="935"/>
      <c r="AJ113" s="935"/>
      <c r="AK113" s="935"/>
      <c r="AL113" s="935"/>
      <c r="AM113" s="935"/>
      <c r="AN113" s="935"/>
      <c r="AO113" s="935"/>
      <c r="AP113" s="935"/>
      <c r="AQ113" s="935"/>
      <c r="AR113" s="935"/>
      <c r="AS113" s="935"/>
      <c r="AT113" s="935"/>
      <c r="AU113" s="935"/>
      <c r="AV113" s="935"/>
      <c r="AW113" s="935"/>
      <c r="AX113" s="935"/>
      <c r="AY113" s="935"/>
      <c r="AZ113" s="935"/>
      <c r="BA113" s="935"/>
      <c r="BB113" s="935"/>
      <c r="BC113" s="935"/>
      <c r="BD113" s="935"/>
      <c r="BE113" s="935"/>
      <c r="BF113" s="935"/>
      <c r="BG113" s="935"/>
      <c r="BH113" s="935"/>
      <c r="BI113" s="935"/>
      <c r="BJ113" s="935"/>
      <c r="BK113" s="935"/>
      <c r="BL113" s="935"/>
      <c r="BM113" s="935"/>
      <c r="BN113" s="935"/>
      <c r="BO113" s="935"/>
      <c r="BP113" s="935"/>
      <c r="BQ113" s="935"/>
      <c r="BR113" s="935"/>
      <c r="BS113" s="935"/>
      <c r="BT113" s="935"/>
    </row>
    <row r="114" spans="1:72" x14ac:dyDescent="0.25">
      <c r="A114" s="935" t="s">
        <v>611</v>
      </c>
      <c r="B114" s="935">
        <v>9.0399999999999991</v>
      </c>
      <c r="C114" s="935">
        <v>14.56</v>
      </c>
      <c r="D114" s="935">
        <v>8.7799999999999994</v>
      </c>
      <c r="E114" s="935">
        <v>12</v>
      </c>
      <c r="F114" s="935">
        <v>12.17</v>
      </c>
      <c r="G114" s="935">
        <v>13.34</v>
      </c>
      <c r="H114" s="935">
        <v>14.37</v>
      </c>
      <c r="I114" s="935">
        <v>15.11</v>
      </c>
      <c r="J114" s="935">
        <v>15.53</v>
      </c>
      <c r="K114" s="935">
        <v>15.93</v>
      </c>
      <c r="L114" s="935">
        <v>16.45</v>
      </c>
      <c r="M114" s="935">
        <v>16.89</v>
      </c>
      <c r="N114" s="935">
        <v>17.14</v>
      </c>
      <c r="O114" s="935">
        <v>17.22</v>
      </c>
      <c r="P114" s="935">
        <v>17.47</v>
      </c>
      <c r="Q114" s="935">
        <v>17.63</v>
      </c>
      <c r="R114" s="935">
        <v>17.850000000000001</v>
      </c>
      <c r="S114" s="935">
        <v>18.079999999999998</v>
      </c>
      <c r="T114" s="935">
        <v>18.3</v>
      </c>
      <c r="U114" s="935">
        <v>18.38</v>
      </c>
      <c r="V114" s="935">
        <v>18.68</v>
      </c>
      <c r="W114" s="935">
        <v>18.940000000000001</v>
      </c>
      <c r="X114" s="935">
        <v>19.23</v>
      </c>
      <c r="Y114" s="935">
        <v>19.55</v>
      </c>
      <c r="Z114" s="935">
        <v>19.899999999999999</v>
      </c>
      <c r="AA114" s="935">
        <v>20.190000000000001</v>
      </c>
      <c r="AB114" s="935">
        <v>20.43</v>
      </c>
      <c r="AC114" s="935">
        <v>20.77</v>
      </c>
      <c r="AD114" s="935">
        <v>21.12</v>
      </c>
      <c r="AE114" s="974">
        <v>1.4E-2</v>
      </c>
      <c r="AF114" s="935"/>
      <c r="AG114" s="935"/>
      <c r="AH114" s="935"/>
      <c r="AI114" s="935"/>
      <c r="AJ114" s="935"/>
      <c r="AK114" s="935"/>
      <c r="AL114" s="935"/>
      <c r="AM114" s="935"/>
      <c r="AN114" s="935"/>
      <c r="AO114" s="935"/>
      <c r="AP114" s="935"/>
      <c r="AQ114" s="935"/>
      <c r="AR114" s="935"/>
      <c r="AS114" s="935"/>
      <c r="AT114" s="935"/>
      <c r="AU114" s="935"/>
      <c r="AV114" s="935"/>
      <c r="AW114" s="935"/>
      <c r="AX114" s="935"/>
      <c r="AY114" s="935"/>
      <c r="AZ114" s="935"/>
      <c r="BA114" s="935"/>
      <c r="BB114" s="935"/>
      <c r="BC114" s="935"/>
      <c r="BD114" s="935"/>
      <c r="BE114" s="935"/>
      <c r="BF114" s="935"/>
      <c r="BG114" s="935"/>
      <c r="BH114" s="935"/>
      <c r="BI114" s="935"/>
      <c r="BJ114" s="935"/>
      <c r="BK114" s="935"/>
      <c r="BL114" s="935"/>
      <c r="BM114" s="935"/>
      <c r="BN114" s="935"/>
      <c r="BO114" s="935"/>
      <c r="BP114" s="935"/>
      <c r="BQ114" s="935"/>
      <c r="BR114" s="935"/>
      <c r="BS114" s="935"/>
      <c r="BT114" s="935"/>
    </row>
    <row r="115" spans="1:72" x14ac:dyDescent="0.25">
      <c r="A115" s="935" t="s">
        <v>510</v>
      </c>
      <c r="B115" s="935">
        <v>7.26</v>
      </c>
      <c r="C115" s="935">
        <v>9.09</v>
      </c>
      <c r="D115" s="935">
        <v>4.1399999999999997</v>
      </c>
      <c r="E115" s="935">
        <v>4.8499999999999996</v>
      </c>
      <c r="F115" s="935">
        <v>5.82</v>
      </c>
      <c r="G115" s="935">
        <v>6.17</v>
      </c>
      <c r="H115" s="935">
        <v>5.94</v>
      </c>
      <c r="I115" s="935">
        <v>5.9</v>
      </c>
      <c r="J115" s="935">
        <v>6.08</v>
      </c>
      <c r="K115" s="935">
        <v>6.16</v>
      </c>
      <c r="L115" s="935">
        <v>6.17</v>
      </c>
      <c r="M115" s="935">
        <v>6.22</v>
      </c>
      <c r="N115" s="935">
        <v>6.29</v>
      </c>
      <c r="O115" s="935">
        <v>6.42</v>
      </c>
      <c r="P115" s="935">
        <v>6.52</v>
      </c>
      <c r="Q115" s="935">
        <v>6.69</v>
      </c>
      <c r="R115" s="935">
        <v>6.74</v>
      </c>
      <c r="S115" s="935">
        <v>6.7</v>
      </c>
      <c r="T115" s="935">
        <v>6.75</v>
      </c>
      <c r="U115" s="935">
        <v>6.91</v>
      </c>
      <c r="V115" s="935">
        <v>7.05</v>
      </c>
      <c r="W115" s="935">
        <v>7.27</v>
      </c>
      <c r="X115" s="935">
        <v>7.51</v>
      </c>
      <c r="Y115" s="935">
        <v>7.73</v>
      </c>
      <c r="Z115" s="935">
        <v>8.02</v>
      </c>
      <c r="AA115" s="935">
        <v>8.14</v>
      </c>
      <c r="AB115" s="935">
        <v>8.17</v>
      </c>
      <c r="AC115" s="935">
        <v>8.35</v>
      </c>
      <c r="AD115" s="935">
        <v>8.4600000000000009</v>
      </c>
      <c r="AE115" s="974">
        <v>-3.0000000000000001E-3</v>
      </c>
      <c r="AF115" s="935"/>
      <c r="AG115" s="935"/>
      <c r="AH115" s="935"/>
      <c r="AI115" s="935"/>
      <c r="AJ115" s="935"/>
      <c r="AK115" s="935"/>
      <c r="AL115" s="935"/>
      <c r="AM115" s="935"/>
      <c r="AN115" s="935"/>
      <c r="AO115" s="935"/>
      <c r="AP115" s="935"/>
      <c r="AQ115" s="935"/>
      <c r="AR115" s="935"/>
      <c r="AS115" s="935"/>
      <c r="AT115" s="935"/>
      <c r="AU115" s="935"/>
      <c r="AV115" s="935"/>
      <c r="AW115" s="935"/>
      <c r="AX115" s="935"/>
      <c r="AY115" s="935"/>
      <c r="AZ115" s="935"/>
      <c r="BA115" s="935"/>
      <c r="BB115" s="935"/>
      <c r="BC115" s="935"/>
      <c r="BD115" s="935"/>
      <c r="BE115" s="935"/>
      <c r="BF115" s="935"/>
      <c r="BG115" s="935"/>
      <c r="BH115" s="935"/>
      <c r="BI115" s="935"/>
      <c r="BJ115" s="935"/>
      <c r="BK115" s="935"/>
      <c r="BL115" s="935"/>
      <c r="BM115" s="935"/>
      <c r="BN115" s="935"/>
      <c r="BO115" s="935"/>
      <c r="BP115" s="935"/>
      <c r="BQ115" s="935"/>
      <c r="BR115" s="935"/>
      <c r="BS115" s="935"/>
      <c r="BT115" s="935"/>
    </row>
    <row r="116" spans="1:72" x14ac:dyDescent="0.25">
      <c r="A116" s="935" t="s">
        <v>624</v>
      </c>
      <c r="B116" s="935">
        <v>1.8</v>
      </c>
      <c r="C116" s="935">
        <v>2.0499999999999998</v>
      </c>
      <c r="D116" s="935">
        <v>2.15</v>
      </c>
      <c r="E116" s="935">
        <v>1.99</v>
      </c>
      <c r="F116" s="935">
        <v>1.98</v>
      </c>
      <c r="G116" s="935">
        <v>1.99</v>
      </c>
      <c r="H116" s="935">
        <v>1.99</v>
      </c>
      <c r="I116" s="935">
        <v>1.99</v>
      </c>
      <c r="J116" s="935">
        <v>2.0099999999999998</v>
      </c>
      <c r="K116" s="935">
        <v>1.99</v>
      </c>
      <c r="L116" s="935">
        <v>2</v>
      </c>
      <c r="M116" s="935">
        <v>1.99</v>
      </c>
      <c r="N116" s="935">
        <v>1.99</v>
      </c>
      <c r="O116" s="935">
        <v>1.98</v>
      </c>
      <c r="P116" s="935">
        <v>1.98</v>
      </c>
      <c r="Q116" s="935">
        <v>1.99</v>
      </c>
      <c r="R116" s="935">
        <v>1.99</v>
      </c>
      <c r="S116" s="935">
        <v>1.99</v>
      </c>
      <c r="T116" s="935">
        <v>1.99</v>
      </c>
      <c r="U116" s="935">
        <v>2</v>
      </c>
      <c r="V116" s="935">
        <v>2</v>
      </c>
      <c r="W116" s="935">
        <v>2.0099999999999998</v>
      </c>
      <c r="X116" s="935">
        <v>2.02</v>
      </c>
      <c r="Y116" s="935">
        <v>2.0299999999999998</v>
      </c>
      <c r="Z116" s="935">
        <v>2.04</v>
      </c>
      <c r="AA116" s="935">
        <v>2.0499999999999998</v>
      </c>
      <c r="AB116" s="935">
        <v>2.06</v>
      </c>
      <c r="AC116" s="935">
        <v>2.0699999999999998</v>
      </c>
      <c r="AD116" s="935">
        <v>2.09</v>
      </c>
      <c r="AE116" s="974">
        <v>1E-3</v>
      </c>
      <c r="AF116" s="935"/>
      <c r="AG116" s="935"/>
      <c r="AH116" s="935"/>
      <c r="AI116" s="935"/>
      <c r="AJ116" s="935"/>
      <c r="AK116" s="935"/>
      <c r="AL116" s="935"/>
      <c r="AM116" s="935"/>
      <c r="AN116" s="935"/>
      <c r="AO116" s="935"/>
      <c r="AP116" s="935"/>
      <c r="AQ116" s="935"/>
      <c r="AR116" s="935"/>
      <c r="AS116" s="935"/>
      <c r="AT116" s="935"/>
      <c r="AU116" s="935"/>
      <c r="AV116" s="935"/>
      <c r="AW116" s="935"/>
      <c r="AX116" s="935"/>
      <c r="AY116" s="935"/>
      <c r="AZ116" s="935"/>
      <c r="BA116" s="935"/>
      <c r="BB116" s="935"/>
      <c r="BC116" s="935"/>
      <c r="BD116" s="935"/>
      <c r="BE116" s="935"/>
      <c r="BF116" s="935"/>
      <c r="BG116" s="935"/>
      <c r="BH116" s="935"/>
      <c r="BI116" s="935"/>
      <c r="BJ116" s="935"/>
      <c r="BK116" s="935"/>
      <c r="BL116" s="935"/>
      <c r="BM116" s="935"/>
      <c r="BN116" s="935"/>
      <c r="BO116" s="935"/>
      <c r="BP116" s="935"/>
      <c r="BQ116" s="935"/>
      <c r="BR116" s="935"/>
      <c r="BS116" s="935"/>
      <c r="BT116" s="935"/>
    </row>
    <row r="117" spans="1:72" x14ac:dyDescent="0.25">
      <c r="A117" s="935"/>
      <c r="B117" s="935"/>
      <c r="C117" s="935"/>
      <c r="D117" s="935"/>
      <c r="E117" s="935"/>
      <c r="F117" s="935"/>
      <c r="G117" s="935"/>
      <c r="H117" s="935"/>
      <c r="I117" s="935"/>
      <c r="J117" s="935"/>
      <c r="K117" s="935"/>
      <c r="L117" s="935"/>
      <c r="M117" s="935"/>
      <c r="N117" s="935"/>
      <c r="O117" s="935"/>
      <c r="P117" s="935"/>
      <c r="Q117" s="935"/>
      <c r="R117" s="935"/>
      <c r="S117" s="935"/>
      <c r="T117" s="935"/>
      <c r="U117" s="935"/>
      <c r="V117" s="935"/>
      <c r="W117" s="935"/>
      <c r="X117" s="935"/>
      <c r="Y117" s="935"/>
      <c r="Z117" s="935"/>
      <c r="AA117" s="935"/>
      <c r="AB117" s="935"/>
      <c r="AC117" s="935"/>
      <c r="AD117" s="935"/>
      <c r="AE117" s="935"/>
      <c r="AF117" s="935"/>
      <c r="AG117" s="935"/>
      <c r="AH117" s="935"/>
      <c r="AI117" s="935"/>
      <c r="AJ117" s="935"/>
      <c r="AK117" s="935"/>
      <c r="AL117" s="935"/>
      <c r="AM117" s="935"/>
      <c r="AN117" s="935"/>
      <c r="AO117" s="935"/>
      <c r="AP117" s="935"/>
      <c r="AQ117" s="935"/>
      <c r="AR117" s="935"/>
      <c r="AS117" s="935"/>
      <c r="AT117" s="935"/>
      <c r="AU117" s="935"/>
      <c r="AV117" s="935"/>
      <c r="AW117" s="935"/>
      <c r="AX117" s="935"/>
      <c r="AY117" s="935"/>
      <c r="AZ117" s="935"/>
      <c r="BA117" s="935"/>
      <c r="BB117" s="935"/>
      <c r="BC117" s="935"/>
      <c r="BD117" s="935"/>
      <c r="BE117" s="935"/>
      <c r="BF117" s="935"/>
      <c r="BG117" s="935"/>
      <c r="BH117" s="935"/>
      <c r="BI117" s="935"/>
      <c r="BJ117" s="935"/>
      <c r="BK117" s="935"/>
      <c r="BL117" s="935"/>
      <c r="BM117" s="935"/>
      <c r="BN117" s="935"/>
      <c r="BO117" s="935"/>
      <c r="BP117" s="935"/>
      <c r="BQ117" s="935"/>
      <c r="BR117" s="935"/>
      <c r="BS117" s="935"/>
      <c r="BT117" s="935"/>
    </row>
    <row r="118" spans="1:72" x14ac:dyDescent="0.25">
      <c r="A118" s="935" t="s">
        <v>625</v>
      </c>
      <c r="B118" s="935"/>
      <c r="C118" s="935"/>
      <c r="D118" s="935"/>
      <c r="E118" s="935"/>
      <c r="F118" s="935"/>
      <c r="G118" s="935"/>
      <c r="H118" s="935"/>
      <c r="I118" s="935"/>
      <c r="J118" s="935"/>
      <c r="K118" s="935"/>
      <c r="L118" s="935"/>
      <c r="M118" s="935"/>
      <c r="N118" s="935"/>
      <c r="O118" s="935"/>
      <c r="P118" s="935"/>
      <c r="Q118" s="935"/>
      <c r="R118" s="935"/>
      <c r="S118" s="935"/>
      <c r="T118" s="935"/>
      <c r="U118" s="935"/>
      <c r="V118" s="935"/>
      <c r="W118" s="935"/>
      <c r="X118" s="935"/>
      <c r="Y118" s="935"/>
      <c r="Z118" s="935"/>
      <c r="AA118" s="935"/>
      <c r="AB118" s="935"/>
      <c r="AC118" s="935"/>
      <c r="AD118" s="935"/>
      <c r="AE118" s="935"/>
      <c r="AF118" s="935"/>
      <c r="AG118" s="935"/>
      <c r="AH118" s="935"/>
      <c r="AI118" s="935"/>
      <c r="AJ118" s="935"/>
      <c r="AK118" s="935"/>
      <c r="AL118" s="935"/>
      <c r="AM118" s="935"/>
      <c r="AN118" s="935"/>
      <c r="AO118" s="935"/>
      <c r="AP118" s="935"/>
      <c r="AQ118" s="935"/>
      <c r="AR118" s="935"/>
      <c r="AS118" s="935"/>
      <c r="AT118" s="935"/>
      <c r="AU118" s="935"/>
      <c r="AV118" s="935"/>
      <c r="AW118" s="935"/>
      <c r="AX118" s="935"/>
      <c r="AY118" s="935"/>
      <c r="AZ118" s="935"/>
      <c r="BA118" s="935"/>
      <c r="BB118" s="935"/>
      <c r="BC118" s="935"/>
      <c r="BD118" s="935"/>
      <c r="BE118" s="935"/>
      <c r="BF118" s="935"/>
      <c r="BG118" s="935"/>
      <c r="BH118" s="935"/>
      <c r="BI118" s="935"/>
      <c r="BJ118" s="935"/>
      <c r="BK118" s="935"/>
      <c r="BL118" s="935"/>
      <c r="BM118" s="935"/>
      <c r="BN118" s="935"/>
      <c r="BO118" s="935"/>
      <c r="BP118" s="935"/>
      <c r="BQ118" s="935"/>
      <c r="BR118" s="935"/>
      <c r="BS118" s="935"/>
      <c r="BT118" s="935"/>
    </row>
    <row r="119" spans="1:72" x14ac:dyDescent="0.25">
      <c r="A119" s="935" t="s">
        <v>609</v>
      </c>
      <c r="B119" s="935">
        <v>18.940000000000001</v>
      </c>
      <c r="C119" s="935">
        <v>20.190000000000001</v>
      </c>
      <c r="D119" s="935">
        <v>18.36</v>
      </c>
      <c r="E119" s="935">
        <v>16.850000000000001</v>
      </c>
      <c r="F119" s="935">
        <v>16.87</v>
      </c>
      <c r="G119" s="935">
        <v>17.87</v>
      </c>
      <c r="H119" s="935">
        <v>18.97</v>
      </c>
      <c r="I119" s="935">
        <v>19.82</v>
      </c>
      <c r="J119" s="935">
        <v>20.3</v>
      </c>
      <c r="K119" s="935">
        <v>20.84</v>
      </c>
      <c r="L119" s="935">
        <v>21.26</v>
      </c>
      <c r="M119" s="935">
        <v>21.71</v>
      </c>
      <c r="N119" s="935">
        <v>21.93</v>
      </c>
      <c r="O119" s="935">
        <v>22.15</v>
      </c>
      <c r="P119" s="935">
        <v>22.36</v>
      </c>
      <c r="Q119" s="935">
        <v>22.56</v>
      </c>
      <c r="R119" s="935">
        <v>22.83</v>
      </c>
      <c r="S119" s="935">
        <v>23.09</v>
      </c>
      <c r="T119" s="935">
        <v>23.34</v>
      </c>
      <c r="U119" s="935">
        <v>23.49</v>
      </c>
      <c r="V119" s="935">
        <v>23.75</v>
      </c>
      <c r="W119" s="935">
        <v>24</v>
      </c>
      <c r="X119" s="935">
        <v>24.34</v>
      </c>
      <c r="Y119" s="935">
        <v>24.55</v>
      </c>
      <c r="Z119" s="935">
        <v>24.91</v>
      </c>
      <c r="AA119" s="935">
        <v>25.25</v>
      </c>
      <c r="AB119" s="935">
        <v>25.63</v>
      </c>
      <c r="AC119" s="935">
        <v>25.99</v>
      </c>
      <c r="AD119" s="935">
        <v>26.37</v>
      </c>
      <c r="AE119" s="974">
        <v>0.01</v>
      </c>
      <c r="AF119" s="935"/>
      <c r="AG119" s="935"/>
      <c r="AH119" s="935"/>
      <c r="AI119" s="935"/>
      <c r="AJ119" s="935"/>
      <c r="AK119" s="935"/>
      <c r="AL119" s="935"/>
      <c r="AM119" s="935"/>
      <c r="AN119" s="935"/>
      <c r="AO119" s="935"/>
      <c r="AP119" s="935"/>
      <c r="AQ119" s="935"/>
      <c r="AR119" s="935"/>
      <c r="AS119" s="935"/>
      <c r="AT119" s="935"/>
      <c r="AU119" s="935"/>
      <c r="AV119" s="935"/>
      <c r="AW119" s="935"/>
      <c r="AX119" s="935"/>
      <c r="AY119" s="935"/>
      <c r="AZ119" s="935"/>
      <c r="BA119" s="935"/>
      <c r="BB119" s="935"/>
      <c r="BC119" s="935"/>
      <c r="BD119" s="935"/>
      <c r="BE119" s="935"/>
      <c r="BF119" s="935"/>
      <c r="BG119" s="935"/>
      <c r="BH119" s="935"/>
      <c r="BI119" s="935"/>
      <c r="BJ119" s="935"/>
      <c r="BK119" s="935"/>
      <c r="BL119" s="935"/>
      <c r="BM119" s="935"/>
      <c r="BN119" s="935"/>
      <c r="BO119" s="935"/>
      <c r="BP119" s="935"/>
      <c r="BQ119" s="935"/>
      <c r="BR119" s="935"/>
      <c r="BS119" s="935"/>
      <c r="BT119" s="935"/>
    </row>
    <row r="120" spans="1:72" x14ac:dyDescent="0.25">
      <c r="A120" s="935" t="s">
        <v>618</v>
      </c>
      <c r="B120" s="935">
        <v>27.43</v>
      </c>
      <c r="C120" s="935">
        <v>26.93</v>
      </c>
      <c r="D120" s="935">
        <v>23.29</v>
      </c>
      <c r="E120" s="935">
        <v>20.64</v>
      </c>
      <c r="F120" s="935">
        <v>20.97</v>
      </c>
      <c r="G120" s="935">
        <v>22.13</v>
      </c>
      <c r="H120" s="935">
        <v>24.21</v>
      </c>
      <c r="I120" s="935">
        <v>25.23</v>
      </c>
      <c r="J120" s="935">
        <v>25.55</v>
      </c>
      <c r="K120" s="935">
        <v>25.08</v>
      </c>
      <c r="L120" s="935">
        <v>25.9</v>
      </c>
      <c r="M120" s="935">
        <v>26.54</v>
      </c>
      <c r="N120" s="935">
        <v>26.68</v>
      </c>
      <c r="O120" s="935">
        <v>26.95</v>
      </c>
      <c r="P120" s="935">
        <v>27.32</v>
      </c>
      <c r="Q120" s="935">
        <v>27.82</v>
      </c>
      <c r="R120" s="935">
        <v>28.31</v>
      </c>
      <c r="S120" s="935">
        <v>28.55</v>
      </c>
      <c r="T120" s="935">
        <v>28.86</v>
      </c>
      <c r="U120" s="935">
        <v>29.22</v>
      </c>
      <c r="V120" s="935">
        <v>29.49</v>
      </c>
      <c r="W120" s="935">
        <v>30.03</v>
      </c>
      <c r="X120" s="935">
        <v>30.44</v>
      </c>
      <c r="Y120" s="935">
        <v>30.64</v>
      </c>
      <c r="Z120" s="935">
        <v>30.86</v>
      </c>
      <c r="AA120" s="935">
        <v>31.29</v>
      </c>
      <c r="AB120" s="935">
        <v>31.49</v>
      </c>
      <c r="AC120" s="935">
        <v>31.77</v>
      </c>
      <c r="AD120" s="935">
        <v>32.229999999999997</v>
      </c>
      <c r="AE120" s="974">
        <v>7.0000000000000001E-3</v>
      </c>
      <c r="AF120" s="935"/>
      <c r="AG120" s="935"/>
      <c r="AH120" s="935"/>
      <c r="AI120" s="935"/>
      <c r="AJ120" s="935"/>
      <c r="AK120" s="935"/>
      <c r="AL120" s="935"/>
      <c r="AM120" s="935"/>
      <c r="AN120" s="935"/>
      <c r="AO120" s="935"/>
      <c r="AP120" s="935"/>
      <c r="AQ120" s="935"/>
      <c r="AR120" s="935"/>
      <c r="AS120" s="935"/>
      <c r="AT120" s="935"/>
      <c r="AU120" s="935"/>
      <c r="AV120" s="935"/>
      <c r="AW120" s="935"/>
      <c r="AX120" s="935"/>
      <c r="AY120" s="935"/>
      <c r="AZ120" s="935"/>
      <c r="BA120" s="935"/>
      <c r="BB120" s="935"/>
      <c r="BC120" s="935"/>
      <c r="BD120" s="935"/>
      <c r="BE120" s="935"/>
      <c r="BF120" s="935"/>
      <c r="BG120" s="935"/>
      <c r="BH120" s="935"/>
      <c r="BI120" s="935"/>
      <c r="BJ120" s="935"/>
      <c r="BK120" s="935"/>
      <c r="BL120" s="935"/>
      <c r="BM120" s="935"/>
      <c r="BN120" s="935"/>
      <c r="BO120" s="935"/>
      <c r="BP120" s="935"/>
      <c r="BQ120" s="935"/>
      <c r="BR120" s="935"/>
      <c r="BS120" s="935"/>
      <c r="BT120" s="935"/>
    </row>
    <row r="121" spans="1:72" x14ac:dyDescent="0.25">
      <c r="A121" s="935" t="s">
        <v>619</v>
      </c>
      <c r="B121" s="935">
        <v>23.55</v>
      </c>
      <c r="C121" s="935">
        <v>26.54</v>
      </c>
      <c r="D121" s="935">
        <v>19.149999999999999</v>
      </c>
      <c r="E121" s="935">
        <v>20.55</v>
      </c>
      <c r="F121" s="935">
        <v>20.88</v>
      </c>
      <c r="G121" s="935">
        <v>22.03</v>
      </c>
      <c r="H121" s="935">
        <v>24.01</v>
      </c>
      <c r="I121" s="935">
        <v>24.94</v>
      </c>
      <c r="J121" s="935">
        <v>25.36</v>
      </c>
      <c r="K121" s="935">
        <v>25.93</v>
      </c>
      <c r="L121" s="935">
        <v>26.46</v>
      </c>
      <c r="M121" s="935">
        <v>26.89</v>
      </c>
      <c r="N121" s="935">
        <v>27.2</v>
      </c>
      <c r="O121" s="935">
        <v>27.59</v>
      </c>
      <c r="P121" s="935">
        <v>27.82</v>
      </c>
      <c r="Q121" s="935">
        <v>28.17</v>
      </c>
      <c r="R121" s="935">
        <v>28.41</v>
      </c>
      <c r="S121" s="935">
        <v>28.54</v>
      </c>
      <c r="T121" s="935">
        <v>28.87</v>
      </c>
      <c r="U121" s="935">
        <v>29.18</v>
      </c>
      <c r="V121" s="935">
        <v>29.47</v>
      </c>
      <c r="W121" s="935">
        <v>29.9</v>
      </c>
      <c r="X121" s="935">
        <v>30.27</v>
      </c>
      <c r="Y121" s="935">
        <v>30.41</v>
      </c>
      <c r="Z121" s="935">
        <v>30.76</v>
      </c>
      <c r="AA121" s="935">
        <v>31.16</v>
      </c>
      <c r="AB121" s="935">
        <v>31.43</v>
      </c>
      <c r="AC121" s="935">
        <v>31.81</v>
      </c>
      <c r="AD121" s="935">
        <v>32.32</v>
      </c>
      <c r="AE121" s="974">
        <v>7.0000000000000001E-3</v>
      </c>
      <c r="AF121" s="935"/>
      <c r="AG121" s="935"/>
      <c r="AH121" s="935"/>
      <c r="AI121" s="935"/>
      <c r="AJ121" s="935"/>
      <c r="AK121" s="935"/>
      <c r="AL121" s="935"/>
      <c r="AM121" s="935"/>
      <c r="AN121" s="935"/>
      <c r="AO121" s="935"/>
      <c r="AP121" s="935"/>
      <c r="AQ121" s="935"/>
      <c r="AR121" s="935"/>
      <c r="AS121" s="935"/>
      <c r="AT121" s="935"/>
      <c r="AU121" s="935"/>
      <c r="AV121" s="935"/>
      <c r="AW121" s="935"/>
      <c r="AX121" s="935"/>
      <c r="AY121" s="935"/>
      <c r="AZ121" s="935"/>
      <c r="BA121" s="935"/>
      <c r="BB121" s="935"/>
      <c r="BC121" s="935"/>
      <c r="BD121" s="935"/>
      <c r="BE121" s="935"/>
      <c r="BF121" s="935"/>
      <c r="BG121" s="935"/>
      <c r="BH121" s="935"/>
      <c r="BI121" s="935"/>
      <c r="BJ121" s="935"/>
      <c r="BK121" s="935"/>
      <c r="BL121" s="935"/>
      <c r="BM121" s="935"/>
      <c r="BN121" s="935"/>
      <c r="BO121" s="935"/>
      <c r="BP121" s="935"/>
      <c r="BQ121" s="935"/>
      <c r="BR121" s="935"/>
      <c r="BS121" s="935"/>
      <c r="BT121" s="935"/>
    </row>
    <row r="122" spans="1:72" x14ac:dyDescent="0.25">
      <c r="A122" s="935" t="s">
        <v>626</v>
      </c>
      <c r="B122" s="935">
        <v>15.77</v>
      </c>
      <c r="C122" s="935">
        <v>22.71</v>
      </c>
      <c r="D122" s="935">
        <v>12.73</v>
      </c>
      <c r="E122" s="935">
        <v>14.79</v>
      </c>
      <c r="F122" s="935">
        <v>15.16</v>
      </c>
      <c r="G122" s="935">
        <v>16.54</v>
      </c>
      <c r="H122" s="935">
        <v>17.690000000000001</v>
      </c>
      <c r="I122" s="935">
        <v>18.46</v>
      </c>
      <c r="J122" s="935">
        <v>19.04</v>
      </c>
      <c r="K122" s="935">
        <v>19.760000000000002</v>
      </c>
      <c r="L122" s="935">
        <v>20.41</v>
      </c>
      <c r="M122" s="935">
        <v>20.97</v>
      </c>
      <c r="N122" s="935">
        <v>21.35</v>
      </c>
      <c r="O122" s="935">
        <v>21.69</v>
      </c>
      <c r="P122" s="935">
        <v>21.85</v>
      </c>
      <c r="Q122" s="935">
        <v>22.09</v>
      </c>
      <c r="R122" s="935">
        <v>22.41</v>
      </c>
      <c r="S122" s="935">
        <v>22.61</v>
      </c>
      <c r="T122" s="935">
        <v>22.92</v>
      </c>
      <c r="U122" s="935">
        <v>23.19</v>
      </c>
      <c r="V122" s="935">
        <v>23.48</v>
      </c>
      <c r="W122" s="935">
        <v>23.9</v>
      </c>
      <c r="X122" s="935">
        <v>24.26</v>
      </c>
      <c r="Y122" s="935">
        <v>24.51</v>
      </c>
      <c r="Z122" s="935">
        <v>24.9</v>
      </c>
      <c r="AA122" s="935">
        <v>25.3</v>
      </c>
      <c r="AB122" s="935">
        <v>25.64</v>
      </c>
      <c r="AC122" s="935">
        <v>26.05</v>
      </c>
      <c r="AD122" s="935">
        <v>26.48</v>
      </c>
      <c r="AE122" s="974">
        <v>6.0000000000000001E-3</v>
      </c>
      <c r="AF122" s="935"/>
      <c r="AG122" s="935"/>
      <c r="AH122" s="935"/>
      <c r="AI122" s="935"/>
      <c r="AJ122" s="935"/>
      <c r="AK122" s="935"/>
      <c r="AL122" s="935"/>
      <c r="AM122" s="935"/>
      <c r="AN122" s="935"/>
      <c r="AO122" s="935"/>
      <c r="AP122" s="935"/>
      <c r="AQ122" s="935"/>
      <c r="AR122" s="935"/>
      <c r="AS122" s="935"/>
      <c r="AT122" s="935"/>
      <c r="AU122" s="935"/>
      <c r="AV122" s="935"/>
      <c r="AW122" s="935"/>
      <c r="AX122" s="935"/>
      <c r="AY122" s="935"/>
      <c r="AZ122" s="935"/>
      <c r="BA122" s="935"/>
      <c r="BB122" s="935"/>
      <c r="BC122" s="935"/>
      <c r="BD122" s="935"/>
      <c r="BE122" s="935"/>
      <c r="BF122" s="935"/>
      <c r="BG122" s="935"/>
      <c r="BH122" s="935"/>
      <c r="BI122" s="935"/>
      <c r="BJ122" s="935"/>
      <c r="BK122" s="935"/>
      <c r="BL122" s="935"/>
      <c r="BM122" s="935"/>
      <c r="BN122" s="935"/>
      <c r="BO122" s="935"/>
      <c r="BP122" s="935"/>
      <c r="BQ122" s="935"/>
      <c r="BR122" s="935"/>
      <c r="BS122" s="935"/>
      <c r="BT122" s="935"/>
    </row>
    <row r="123" spans="1:72" x14ac:dyDescent="0.25">
      <c r="A123" s="935" t="s">
        <v>610</v>
      </c>
      <c r="B123" s="935">
        <v>20.71</v>
      </c>
      <c r="C123" s="935">
        <v>26.27</v>
      </c>
      <c r="D123" s="935">
        <v>17.46</v>
      </c>
      <c r="E123" s="935">
        <v>17.73</v>
      </c>
      <c r="F123" s="935">
        <v>18.149999999999999</v>
      </c>
      <c r="G123" s="935">
        <v>19.45</v>
      </c>
      <c r="H123" s="935">
        <v>20.62</v>
      </c>
      <c r="I123" s="935">
        <v>21.35</v>
      </c>
      <c r="J123" s="935">
        <v>22.03</v>
      </c>
      <c r="K123" s="935">
        <v>22.8</v>
      </c>
      <c r="L123" s="935">
        <v>23.45</v>
      </c>
      <c r="M123" s="935">
        <v>24.07</v>
      </c>
      <c r="N123" s="935">
        <v>24.47</v>
      </c>
      <c r="O123" s="935">
        <v>24.79</v>
      </c>
      <c r="P123" s="935">
        <v>24.99</v>
      </c>
      <c r="Q123" s="935">
        <v>25.32</v>
      </c>
      <c r="R123" s="935">
        <v>25.5</v>
      </c>
      <c r="S123" s="935">
        <v>25.59</v>
      </c>
      <c r="T123" s="935">
        <v>25.89</v>
      </c>
      <c r="U123" s="935">
        <v>26.12</v>
      </c>
      <c r="V123" s="935">
        <v>26.38</v>
      </c>
      <c r="W123" s="935">
        <v>26.71</v>
      </c>
      <c r="X123" s="935">
        <v>27.11</v>
      </c>
      <c r="Y123" s="935">
        <v>27.29</v>
      </c>
      <c r="Z123" s="935">
        <v>27.73</v>
      </c>
      <c r="AA123" s="935">
        <v>28.13</v>
      </c>
      <c r="AB123" s="935">
        <v>28.46</v>
      </c>
      <c r="AC123" s="935">
        <v>28.87</v>
      </c>
      <c r="AD123" s="935">
        <v>29.34</v>
      </c>
      <c r="AE123" s="974">
        <v>4.0000000000000001E-3</v>
      </c>
      <c r="AF123" s="935"/>
      <c r="AG123" s="935"/>
      <c r="AH123" s="935"/>
      <c r="AI123" s="935"/>
      <c r="AJ123" s="935"/>
      <c r="AK123" s="935"/>
      <c r="AL123" s="935"/>
      <c r="AM123" s="935"/>
      <c r="AN123" s="935"/>
      <c r="AO123" s="935"/>
      <c r="AP123" s="935"/>
      <c r="AQ123" s="935"/>
      <c r="AR123" s="935"/>
      <c r="AS123" s="935"/>
      <c r="AT123" s="935"/>
      <c r="AU123" s="935"/>
      <c r="AV123" s="935"/>
      <c r="AW123" s="935"/>
      <c r="AX123" s="935"/>
      <c r="AY123" s="935"/>
      <c r="AZ123" s="935"/>
      <c r="BA123" s="935"/>
      <c r="BB123" s="935"/>
      <c r="BC123" s="935"/>
      <c r="BD123" s="935"/>
      <c r="BE123" s="935"/>
      <c r="BF123" s="935"/>
      <c r="BG123" s="935"/>
      <c r="BH123" s="935"/>
      <c r="BI123" s="935"/>
      <c r="BJ123" s="935"/>
      <c r="BK123" s="935"/>
      <c r="BL123" s="935"/>
      <c r="BM123" s="935"/>
      <c r="BN123" s="935"/>
      <c r="BO123" s="935"/>
      <c r="BP123" s="935"/>
      <c r="BQ123" s="935"/>
      <c r="BR123" s="935"/>
      <c r="BS123" s="935"/>
      <c r="BT123" s="935"/>
    </row>
    <row r="124" spans="1:72" x14ac:dyDescent="0.25">
      <c r="A124" s="935" t="s">
        <v>611</v>
      </c>
      <c r="B124" s="935">
        <v>9.07</v>
      </c>
      <c r="C124" s="935">
        <v>14.77</v>
      </c>
      <c r="D124" s="935">
        <v>8.9600000000000009</v>
      </c>
      <c r="E124" s="935">
        <v>10.9</v>
      </c>
      <c r="F124" s="935">
        <v>11.01</v>
      </c>
      <c r="G124" s="935">
        <v>12.17</v>
      </c>
      <c r="H124" s="935">
        <v>13.13</v>
      </c>
      <c r="I124" s="935">
        <v>13.86</v>
      </c>
      <c r="J124" s="935">
        <v>14.26</v>
      </c>
      <c r="K124" s="935">
        <v>14.63</v>
      </c>
      <c r="L124" s="935">
        <v>15.14</v>
      </c>
      <c r="M124" s="935">
        <v>15.55</v>
      </c>
      <c r="N124" s="935">
        <v>15.76</v>
      </c>
      <c r="O124" s="935">
        <v>15.81</v>
      </c>
      <c r="P124" s="935">
        <v>16.05</v>
      </c>
      <c r="Q124" s="935">
        <v>16.190000000000001</v>
      </c>
      <c r="R124" s="935">
        <v>16.399999999999999</v>
      </c>
      <c r="S124" s="935">
        <v>16.600000000000001</v>
      </c>
      <c r="T124" s="935">
        <v>16.8</v>
      </c>
      <c r="U124" s="935">
        <v>16.850000000000001</v>
      </c>
      <c r="V124" s="935">
        <v>17.13</v>
      </c>
      <c r="W124" s="935">
        <v>17.37</v>
      </c>
      <c r="X124" s="935">
        <v>17.66</v>
      </c>
      <c r="Y124" s="935">
        <v>17.96</v>
      </c>
      <c r="Z124" s="935">
        <v>18.3</v>
      </c>
      <c r="AA124" s="935">
        <v>18.559999999999999</v>
      </c>
      <c r="AB124" s="935">
        <v>18.79</v>
      </c>
      <c r="AC124" s="935">
        <v>19.12</v>
      </c>
      <c r="AD124" s="935">
        <v>19.46</v>
      </c>
      <c r="AE124" s="974">
        <v>0.01</v>
      </c>
      <c r="AF124" s="935"/>
      <c r="AG124" s="935"/>
      <c r="AH124" s="935"/>
      <c r="AI124" s="935"/>
      <c r="AJ124" s="935"/>
      <c r="AK124" s="935"/>
      <c r="AL124" s="935"/>
      <c r="AM124" s="935"/>
      <c r="AN124" s="935"/>
      <c r="AO124" s="935"/>
      <c r="AP124" s="935"/>
      <c r="AQ124" s="935"/>
      <c r="AR124" s="935"/>
      <c r="AS124" s="935"/>
      <c r="AT124" s="935"/>
      <c r="AU124" s="935"/>
      <c r="AV124" s="935"/>
      <c r="AW124" s="935"/>
      <c r="AX124" s="935"/>
      <c r="AY124" s="935"/>
      <c r="AZ124" s="935"/>
      <c r="BA124" s="935"/>
      <c r="BB124" s="935"/>
      <c r="BC124" s="935"/>
      <c r="BD124" s="935"/>
      <c r="BE124" s="935"/>
      <c r="BF124" s="935"/>
      <c r="BG124" s="935"/>
      <c r="BH124" s="935"/>
      <c r="BI124" s="935"/>
      <c r="BJ124" s="935"/>
      <c r="BK124" s="935"/>
      <c r="BL124" s="935"/>
      <c r="BM124" s="935"/>
      <c r="BN124" s="935"/>
      <c r="BO124" s="935"/>
      <c r="BP124" s="935"/>
      <c r="BQ124" s="935"/>
      <c r="BR124" s="935"/>
      <c r="BS124" s="935"/>
      <c r="BT124" s="935"/>
    </row>
    <row r="125" spans="1:72" x14ac:dyDescent="0.25">
      <c r="A125" s="935" t="s">
        <v>510</v>
      </c>
      <c r="B125" s="935">
        <v>9.19</v>
      </c>
      <c r="C125" s="935">
        <v>10.53</v>
      </c>
      <c r="D125" s="935">
        <v>6.57</v>
      </c>
      <c r="E125" s="935">
        <v>6.87</v>
      </c>
      <c r="F125" s="935">
        <v>7.87</v>
      </c>
      <c r="G125" s="935">
        <v>8.1999999999999993</v>
      </c>
      <c r="H125" s="935">
        <v>8.0500000000000007</v>
      </c>
      <c r="I125" s="935">
        <v>8.02</v>
      </c>
      <c r="J125" s="935">
        <v>8.14</v>
      </c>
      <c r="K125" s="935">
        <v>8.2200000000000006</v>
      </c>
      <c r="L125" s="935">
        <v>8.2200000000000006</v>
      </c>
      <c r="M125" s="935">
        <v>8.27</v>
      </c>
      <c r="N125" s="935">
        <v>8.33</v>
      </c>
      <c r="O125" s="935">
        <v>8.44</v>
      </c>
      <c r="P125" s="935">
        <v>8.5500000000000007</v>
      </c>
      <c r="Q125" s="935">
        <v>8.73</v>
      </c>
      <c r="R125" s="935">
        <v>8.77</v>
      </c>
      <c r="S125" s="935">
        <v>8.68</v>
      </c>
      <c r="T125" s="935">
        <v>8.75</v>
      </c>
      <c r="U125" s="935">
        <v>8.89</v>
      </c>
      <c r="V125" s="935">
        <v>9.0399999999999991</v>
      </c>
      <c r="W125" s="935">
        <v>9.26</v>
      </c>
      <c r="X125" s="935">
        <v>9.49</v>
      </c>
      <c r="Y125" s="935">
        <v>9.74</v>
      </c>
      <c r="Z125" s="935">
        <v>10.050000000000001</v>
      </c>
      <c r="AA125" s="935">
        <v>10.17</v>
      </c>
      <c r="AB125" s="935">
        <v>10.210000000000001</v>
      </c>
      <c r="AC125" s="935">
        <v>10.4</v>
      </c>
      <c r="AD125" s="935">
        <v>10.54</v>
      </c>
      <c r="AE125" s="974">
        <v>0</v>
      </c>
      <c r="AF125" s="935"/>
      <c r="AG125" s="935"/>
      <c r="AH125" s="935"/>
      <c r="AI125" s="935"/>
      <c r="AJ125" s="935"/>
      <c r="AK125" s="935"/>
      <c r="AL125" s="935"/>
      <c r="AM125" s="935"/>
      <c r="AN125" s="935"/>
      <c r="AO125" s="935"/>
      <c r="AP125" s="935"/>
      <c r="AQ125" s="935"/>
      <c r="AR125" s="935"/>
      <c r="AS125" s="935"/>
      <c r="AT125" s="935"/>
      <c r="AU125" s="935"/>
      <c r="AV125" s="935"/>
      <c r="AW125" s="935"/>
      <c r="AX125" s="935"/>
      <c r="AY125" s="935"/>
      <c r="AZ125" s="935"/>
      <c r="BA125" s="935"/>
      <c r="BB125" s="935"/>
      <c r="BC125" s="935"/>
      <c r="BD125" s="935"/>
      <c r="BE125" s="935"/>
      <c r="BF125" s="935"/>
      <c r="BG125" s="935"/>
      <c r="BH125" s="935"/>
      <c r="BI125" s="935"/>
      <c r="BJ125" s="935"/>
      <c r="BK125" s="935"/>
      <c r="BL125" s="935"/>
      <c r="BM125" s="935"/>
      <c r="BN125" s="935"/>
      <c r="BO125" s="935"/>
      <c r="BP125" s="935"/>
      <c r="BQ125" s="935"/>
      <c r="BR125" s="935"/>
      <c r="BS125" s="935"/>
      <c r="BT125" s="935"/>
    </row>
    <row r="126" spans="1:72" x14ac:dyDescent="0.25">
      <c r="A126" s="935" t="s">
        <v>614</v>
      </c>
      <c r="B126" s="935">
        <v>3.69</v>
      </c>
      <c r="C126" s="935">
        <v>4.49</v>
      </c>
      <c r="D126" s="935">
        <v>4.72</v>
      </c>
      <c r="E126" s="935">
        <v>4.8</v>
      </c>
      <c r="F126" s="935">
        <v>4.8600000000000003</v>
      </c>
      <c r="G126" s="935">
        <v>5.0199999999999996</v>
      </c>
      <c r="H126" s="935">
        <v>5.05</v>
      </c>
      <c r="I126" s="935">
        <v>5.08</v>
      </c>
      <c r="J126" s="935">
        <v>5.08</v>
      </c>
      <c r="K126" s="935">
        <v>5.09</v>
      </c>
      <c r="L126" s="935">
        <v>5.16</v>
      </c>
      <c r="M126" s="935">
        <v>5.22</v>
      </c>
      <c r="N126" s="935">
        <v>5.29</v>
      </c>
      <c r="O126" s="935">
        <v>5.32</v>
      </c>
      <c r="P126" s="935">
        <v>5.35</v>
      </c>
      <c r="Q126" s="935">
        <v>5.36</v>
      </c>
      <c r="R126" s="935">
        <v>5.35</v>
      </c>
      <c r="S126" s="935">
        <v>5.32</v>
      </c>
      <c r="T126" s="935">
        <v>5.24</v>
      </c>
      <c r="U126" s="935">
        <v>5.16</v>
      </c>
      <c r="V126" s="935">
        <v>5.14</v>
      </c>
      <c r="W126" s="935">
        <v>5.14</v>
      </c>
      <c r="X126" s="935">
        <v>5.1100000000000003</v>
      </c>
      <c r="Y126" s="935">
        <v>5.1100000000000003</v>
      </c>
      <c r="Z126" s="935">
        <v>5.09</v>
      </c>
      <c r="AA126" s="935">
        <v>5.08</v>
      </c>
      <c r="AB126" s="935">
        <v>5.08</v>
      </c>
      <c r="AC126" s="935">
        <v>5.0599999999999996</v>
      </c>
      <c r="AD126" s="935">
        <v>5.0599999999999996</v>
      </c>
      <c r="AE126" s="974">
        <v>4.0000000000000001E-3</v>
      </c>
      <c r="AF126" s="935"/>
      <c r="AG126" s="935"/>
      <c r="AH126" s="935"/>
      <c r="AI126" s="935"/>
      <c r="AJ126" s="935"/>
      <c r="AK126" s="935"/>
      <c r="AL126" s="935"/>
      <c r="AM126" s="935"/>
      <c r="AN126" s="935"/>
      <c r="AO126" s="935"/>
      <c r="AP126" s="935"/>
      <c r="AQ126" s="935"/>
      <c r="AR126" s="935"/>
      <c r="AS126" s="935"/>
      <c r="AT126" s="935"/>
      <c r="AU126" s="935"/>
      <c r="AV126" s="935"/>
      <c r="AW126" s="935"/>
      <c r="AX126" s="935"/>
      <c r="AY126" s="935"/>
      <c r="AZ126" s="935"/>
      <c r="BA126" s="935"/>
      <c r="BB126" s="935"/>
      <c r="BC126" s="935"/>
      <c r="BD126" s="935"/>
      <c r="BE126" s="935"/>
      <c r="BF126" s="935"/>
      <c r="BG126" s="935"/>
      <c r="BH126" s="935"/>
      <c r="BI126" s="935"/>
      <c r="BJ126" s="935"/>
      <c r="BK126" s="935"/>
      <c r="BL126" s="935"/>
      <c r="BM126" s="935"/>
      <c r="BN126" s="935"/>
      <c r="BO126" s="935"/>
      <c r="BP126" s="935"/>
      <c r="BQ126" s="935"/>
      <c r="BR126" s="935"/>
      <c r="BS126" s="935"/>
      <c r="BT126" s="935"/>
    </row>
    <row r="127" spans="1:72" x14ac:dyDescent="0.25">
      <c r="A127" s="935" t="s">
        <v>627</v>
      </c>
      <c r="B127" s="935">
        <v>1.84</v>
      </c>
      <c r="C127" s="935">
        <v>2.1</v>
      </c>
      <c r="D127" s="935">
        <v>2.19</v>
      </c>
      <c r="E127" s="935">
        <v>2.0299999999999998</v>
      </c>
      <c r="F127" s="935">
        <v>2.02</v>
      </c>
      <c r="G127" s="935">
        <v>2.0299999999999998</v>
      </c>
      <c r="H127" s="935">
        <v>2.0299999999999998</v>
      </c>
      <c r="I127" s="935">
        <v>2.0299999999999998</v>
      </c>
      <c r="J127" s="935">
        <v>2.0499999999999998</v>
      </c>
      <c r="K127" s="935">
        <v>2.0299999999999998</v>
      </c>
      <c r="L127" s="935">
        <v>2.04</v>
      </c>
      <c r="M127" s="935">
        <v>2.0299999999999998</v>
      </c>
      <c r="N127" s="935">
        <v>2.02</v>
      </c>
      <c r="O127" s="935">
        <v>2.02</v>
      </c>
      <c r="P127" s="935">
        <v>2.02</v>
      </c>
      <c r="Q127" s="935">
        <v>2.0299999999999998</v>
      </c>
      <c r="R127" s="935">
        <v>2.02</v>
      </c>
      <c r="S127" s="935">
        <v>2.02</v>
      </c>
      <c r="T127" s="935">
        <v>2.02</v>
      </c>
      <c r="U127" s="935">
        <v>2.0299999999999998</v>
      </c>
      <c r="V127" s="935">
        <v>2.0299999999999998</v>
      </c>
      <c r="W127" s="935">
        <v>2.04</v>
      </c>
      <c r="X127" s="935">
        <v>2.0499999999999998</v>
      </c>
      <c r="Y127" s="935">
        <v>2.06</v>
      </c>
      <c r="Z127" s="935">
        <v>2.0699999999999998</v>
      </c>
      <c r="AA127" s="935">
        <v>2.08</v>
      </c>
      <c r="AB127" s="935">
        <v>2.09</v>
      </c>
      <c r="AC127" s="935">
        <v>2.1</v>
      </c>
      <c r="AD127" s="935">
        <v>2.12</v>
      </c>
      <c r="AE127" s="974">
        <v>0</v>
      </c>
      <c r="AF127" s="935"/>
      <c r="AG127" s="935"/>
      <c r="AH127" s="935"/>
      <c r="AI127" s="935"/>
      <c r="AJ127" s="935"/>
      <c r="AK127" s="935"/>
      <c r="AL127" s="935"/>
      <c r="AM127" s="935"/>
      <c r="AN127" s="935"/>
      <c r="AO127" s="935"/>
      <c r="AP127" s="935"/>
      <c r="AQ127" s="935"/>
      <c r="AR127" s="935"/>
      <c r="AS127" s="935"/>
      <c r="AT127" s="935"/>
      <c r="AU127" s="935"/>
      <c r="AV127" s="935"/>
      <c r="AW127" s="935"/>
      <c r="AX127" s="935"/>
      <c r="AY127" s="935"/>
      <c r="AZ127" s="935"/>
      <c r="BA127" s="935"/>
      <c r="BB127" s="935"/>
      <c r="BC127" s="935"/>
      <c r="BD127" s="935"/>
      <c r="BE127" s="935"/>
      <c r="BF127" s="935"/>
      <c r="BG127" s="935"/>
      <c r="BH127" s="935"/>
      <c r="BI127" s="935"/>
      <c r="BJ127" s="935"/>
      <c r="BK127" s="935"/>
      <c r="BL127" s="935"/>
      <c r="BM127" s="935"/>
      <c r="BN127" s="935"/>
      <c r="BO127" s="935"/>
      <c r="BP127" s="935"/>
      <c r="BQ127" s="935"/>
      <c r="BR127" s="935"/>
      <c r="BS127" s="935"/>
      <c r="BT127" s="935"/>
    </row>
    <row r="128" spans="1:72" x14ac:dyDescent="0.25">
      <c r="A128" s="935" t="s">
        <v>616</v>
      </c>
      <c r="B128" s="935" t="s">
        <v>788</v>
      </c>
      <c r="C128" s="935" t="s">
        <v>788</v>
      </c>
      <c r="D128" s="935" t="s">
        <v>788</v>
      </c>
      <c r="E128" s="935" t="s">
        <v>788</v>
      </c>
      <c r="F128" s="935">
        <v>1.26</v>
      </c>
      <c r="G128" s="935">
        <v>1.04</v>
      </c>
      <c r="H128" s="935">
        <v>1.04</v>
      </c>
      <c r="I128" s="935">
        <v>1.41</v>
      </c>
      <c r="J128" s="935">
        <v>1.42</v>
      </c>
      <c r="K128" s="935">
        <v>1.46</v>
      </c>
      <c r="L128" s="935">
        <v>1.48</v>
      </c>
      <c r="M128" s="935">
        <v>1.48</v>
      </c>
      <c r="N128" s="935">
        <v>1.47</v>
      </c>
      <c r="O128" s="935">
        <v>1.46</v>
      </c>
      <c r="P128" s="935">
        <v>1.49</v>
      </c>
      <c r="Q128" s="935">
        <v>1.5</v>
      </c>
      <c r="R128" s="935">
        <v>1.52</v>
      </c>
      <c r="S128" s="935">
        <v>1.49</v>
      </c>
      <c r="T128" s="935">
        <v>1.49</v>
      </c>
      <c r="U128" s="935">
        <v>1.47</v>
      </c>
      <c r="V128" s="935">
        <v>1.46</v>
      </c>
      <c r="W128" s="935">
        <v>1.45</v>
      </c>
      <c r="X128" s="935">
        <v>1.44</v>
      </c>
      <c r="Y128" s="935">
        <v>1.44</v>
      </c>
      <c r="Z128" s="935">
        <v>1.44</v>
      </c>
      <c r="AA128" s="935">
        <v>1.44</v>
      </c>
      <c r="AB128" s="935">
        <v>1.46</v>
      </c>
      <c r="AC128" s="935">
        <v>1.48</v>
      </c>
      <c r="AD128" s="935">
        <v>1.51</v>
      </c>
      <c r="AE128" s="935" t="s">
        <v>788</v>
      </c>
      <c r="AF128" s="935"/>
      <c r="AG128" s="935"/>
      <c r="AH128" s="935"/>
      <c r="AI128" s="935"/>
      <c r="AJ128" s="935"/>
      <c r="AK128" s="935"/>
      <c r="AL128" s="935"/>
      <c r="AM128" s="935"/>
      <c r="AN128" s="935"/>
      <c r="AO128" s="935"/>
      <c r="AP128" s="935"/>
      <c r="AQ128" s="935"/>
      <c r="AR128" s="935"/>
      <c r="AS128" s="935"/>
      <c r="AT128" s="935"/>
      <c r="AU128" s="935"/>
      <c r="AV128" s="935"/>
      <c r="AW128" s="935"/>
      <c r="AX128" s="935"/>
      <c r="AY128" s="935"/>
      <c r="AZ128" s="935"/>
      <c r="BA128" s="935"/>
      <c r="BB128" s="935"/>
      <c r="BC128" s="935"/>
      <c r="BD128" s="935"/>
      <c r="BE128" s="935"/>
      <c r="BF128" s="935"/>
      <c r="BG128" s="935"/>
      <c r="BH128" s="935"/>
      <c r="BI128" s="935"/>
      <c r="BJ128" s="935"/>
      <c r="BK128" s="935"/>
      <c r="BL128" s="935"/>
      <c r="BM128" s="935"/>
      <c r="BN128" s="935"/>
      <c r="BO128" s="935"/>
      <c r="BP128" s="935"/>
      <c r="BQ128" s="935"/>
      <c r="BR128" s="935"/>
      <c r="BS128" s="935"/>
      <c r="BT128" s="935"/>
    </row>
    <row r="129" spans="1:72" x14ac:dyDescent="0.25">
      <c r="A129" s="935" t="s">
        <v>479</v>
      </c>
      <c r="B129" s="935">
        <v>27.25</v>
      </c>
      <c r="C129" s="935">
        <v>28.81</v>
      </c>
      <c r="D129" s="935">
        <v>28.07</v>
      </c>
      <c r="E129" s="935">
        <v>26.77</v>
      </c>
      <c r="F129" s="935">
        <v>25.2</v>
      </c>
      <c r="G129" s="935">
        <v>26.1</v>
      </c>
      <c r="H129" s="935">
        <v>26.17</v>
      </c>
      <c r="I129" s="935">
        <v>25.97</v>
      </c>
      <c r="J129" s="935">
        <v>25.95</v>
      </c>
      <c r="K129" s="935">
        <v>26.2</v>
      </c>
      <c r="L129" s="935">
        <v>26.36</v>
      </c>
      <c r="M129" s="935">
        <v>26.37</v>
      </c>
      <c r="N129" s="935">
        <v>26.31</v>
      </c>
      <c r="O129" s="935">
        <v>26.51</v>
      </c>
      <c r="P129" s="935">
        <v>26.7</v>
      </c>
      <c r="Q129" s="935">
        <v>26.84</v>
      </c>
      <c r="R129" s="935">
        <v>27.04</v>
      </c>
      <c r="S129" s="935">
        <v>27.19</v>
      </c>
      <c r="T129" s="935">
        <v>27.17</v>
      </c>
      <c r="U129" s="935">
        <v>27.33</v>
      </c>
      <c r="V129" s="935">
        <v>27.53</v>
      </c>
      <c r="W129" s="935">
        <v>27.74</v>
      </c>
      <c r="X129" s="935">
        <v>28.16</v>
      </c>
      <c r="Y129" s="935">
        <v>28.49</v>
      </c>
      <c r="Z129" s="935">
        <v>28.86</v>
      </c>
      <c r="AA129" s="935">
        <v>29.21</v>
      </c>
      <c r="AB129" s="935">
        <v>29.38</v>
      </c>
      <c r="AC129" s="935">
        <v>29.64</v>
      </c>
      <c r="AD129" s="935">
        <v>29.87</v>
      </c>
      <c r="AE129" s="974">
        <v>1E-3</v>
      </c>
      <c r="AF129" s="935"/>
      <c r="AG129" s="935"/>
      <c r="AH129" s="935"/>
      <c r="AI129" s="935"/>
      <c r="AJ129" s="935"/>
      <c r="AK129" s="935"/>
      <c r="AL129" s="935"/>
      <c r="AM129" s="935"/>
      <c r="AN129" s="935"/>
      <c r="AO129" s="935"/>
      <c r="AP129" s="935"/>
      <c r="AQ129" s="935"/>
      <c r="AR129" s="935"/>
      <c r="AS129" s="935"/>
      <c r="AT129" s="935"/>
      <c r="AU129" s="935"/>
      <c r="AV129" s="935"/>
      <c r="AW129" s="935"/>
      <c r="AX129" s="935"/>
      <c r="AY129" s="935"/>
      <c r="AZ129" s="935"/>
      <c r="BA129" s="935"/>
      <c r="BB129" s="935"/>
      <c r="BC129" s="935"/>
      <c r="BD129" s="935"/>
      <c r="BE129" s="935"/>
      <c r="BF129" s="935"/>
      <c r="BG129" s="935"/>
      <c r="BH129" s="935"/>
      <c r="BI129" s="935"/>
      <c r="BJ129" s="935"/>
      <c r="BK129" s="935"/>
      <c r="BL129" s="935"/>
      <c r="BM129" s="935"/>
      <c r="BN129" s="935"/>
      <c r="BO129" s="935"/>
      <c r="BP129" s="935"/>
      <c r="BQ129" s="935"/>
      <c r="BR129" s="935"/>
      <c r="BS129" s="935"/>
      <c r="BT129" s="935"/>
    </row>
    <row r="130" spans="1:72" x14ac:dyDescent="0.25">
      <c r="A130" s="935"/>
      <c r="B130" s="935"/>
      <c r="C130" s="935"/>
      <c r="D130" s="935"/>
      <c r="E130" s="935"/>
      <c r="F130" s="935"/>
      <c r="G130" s="935"/>
      <c r="H130" s="935"/>
      <c r="I130" s="935"/>
      <c r="J130" s="935"/>
      <c r="K130" s="935"/>
      <c r="L130" s="935"/>
      <c r="M130" s="935"/>
      <c r="N130" s="935"/>
      <c r="O130" s="935"/>
      <c r="P130" s="935"/>
      <c r="Q130" s="935"/>
      <c r="R130" s="935"/>
      <c r="S130" s="935"/>
      <c r="T130" s="935"/>
      <c r="U130" s="935"/>
      <c r="V130" s="935"/>
      <c r="W130" s="935"/>
      <c r="X130" s="935"/>
      <c r="Y130" s="935"/>
      <c r="Z130" s="935"/>
      <c r="AA130" s="935"/>
      <c r="AB130" s="935"/>
      <c r="AC130" s="935"/>
      <c r="AD130" s="935"/>
      <c r="AE130" s="935"/>
      <c r="AF130" s="935"/>
      <c r="AG130" s="935"/>
      <c r="AH130" s="935"/>
      <c r="AI130" s="935"/>
      <c r="AJ130" s="935"/>
      <c r="AK130" s="935"/>
      <c r="AL130" s="935"/>
      <c r="AM130" s="935"/>
      <c r="AN130" s="935"/>
      <c r="AO130" s="935"/>
      <c r="AP130" s="935"/>
      <c r="AQ130" s="935"/>
      <c r="AR130" s="935"/>
      <c r="AS130" s="935"/>
      <c r="AT130" s="935"/>
      <c r="AU130" s="935"/>
      <c r="AV130" s="935"/>
      <c r="AW130" s="935"/>
      <c r="AX130" s="935"/>
      <c r="AY130" s="935"/>
      <c r="AZ130" s="935"/>
      <c r="BA130" s="935"/>
      <c r="BB130" s="935"/>
      <c r="BC130" s="935"/>
      <c r="BD130" s="935"/>
      <c r="BE130" s="935"/>
      <c r="BF130" s="935"/>
      <c r="BG130" s="935"/>
      <c r="BH130" s="935"/>
      <c r="BI130" s="935"/>
      <c r="BJ130" s="935"/>
      <c r="BK130" s="935"/>
      <c r="BL130" s="935"/>
      <c r="BM130" s="935"/>
      <c r="BN130" s="935"/>
      <c r="BO130" s="935"/>
      <c r="BP130" s="935"/>
      <c r="BQ130" s="935"/>
      <c r="BR130" s="935"/>
      <c r="BS130" s="935"/>
      <c r="BT130" s="935"/>
    </row>
    <row r="131" spans="1:72" x14ac:dyDescent="0.25">
      <c r="A131" s="935" t="s">
        <v>513</v>
      </c>
      <c r="B131" s="935"/>
      <c r="C131" s="935"/>
      <c r="D131" s="935"/>
      <c r="E131" s="935"/>
      <c r="F131" s="935"/>
      <c r="G131" s="935"/>
      <c r="H131" s="935"/>
      <c r="I131" s="935"/>
      <c r="J131" s="935"/>
      <c r="K131" s="935"/>
      <c r="L131" s="935"/>
      <c r="M131" s="935"/>
      <c r="N131" s="935"/>
      <c r="O131" s="935"/>
      <c r="P131" s="935"/>
      <c r="Q131" s="935"/>
      <c r="R131" s="935"/>
      <c r="S131" s="935"/>
      <c r="T131" s="935"/>
      <c r="U131" s="935"/>
      <c r="V131" s="935"/>
      <c r="W131" s="935"/>
      <c r="X131" s="935"/>
      <c r="Y131" s="935"/>
      <c r="Z131" s="935"/>
      <c r="AA131" s="935"/>
      <c r="AB131" s="935"/>
      <c r="AC131" s="935"/>
      <c r="AD131" s="935"/>
      <c r="AE131" s="935"/>
      <c r="AF131" s="935"/>
      <c r="AG131" s="935"/>
      <c r="AH131" s="935"/>
      <c r="AI131" s="935"/>
      <c r="AJ131" s="935"/>
      <c r="AK131" s="935"/>
      <c r="AL131" s="935"/>
      <c r="AM131" s="935"/>
      <c r="AN131" s="935"/>
      <c r="AO131" s="935"/>
      <c r="AP131" s="935"/>
      <c r="AQ131" s="935"/>
      <c r="AR131" s="935"/>
      <c r="AS131" s="935"/>
      <c r="AT131" s="935"/>
      <c r="AU131" s="935"/>
      <c r="AV131" s="935"/>
      <c r="AW131" s="935"/>
      <c r="AX131" s="935"/>
      <c r="AY131" s="935"/>
      <c r="AZ131" s="935"/>
      <c r="BA131" s="935"/>
      <c r="BB131" s="935"/>
      <c r="BC131" s="935"/>
      <c r="BD131" s="935"/>
      <c r="BE131" s="935"/>
      <c r="BF131" s="935"/>
      <c r="BG131" s="935"/>
      <c r="BH131" s="935"/>
      <c r="BI131" s="935"/>
      <c r="BJ131" s="935"/>
      <c r="BK131" s="935"/>
      <c r="BL131" s="935"/>
      <c r="BM131" s="935"/>
      <c r="BN131" s="935"/>
      <c r="BO131" s="935"/>
      <c r="BP131" s="935"/>
      <c r="BQ131" s="935"/>
      <c r="BR131" s="935"/>
      <c r="BS131" s="935"/>
      <c r="BT131" s="935"/>
    </row>
    <row r="132" spans="1:72" x14ac:dyDescent="0.25">
      <c r="A132" s="935" t="s">
        <v>789</v>
      </c>
      <c r="B132" s="935"/>
      <c r="C132" s="935"/>
      <c r="D132" s="935"/>
      <c r="E132" s="935"/>
      <c r="F132" s="935"/>
      <c r="G132" s="935"/>
      <c r="H132" s="935"/>
      <c r="I132" s="935"/>
      <c r="J132" s="935"/>
      <c r="K132" s="935"/>
      <c r="L132" s="935"/>
      <c r="M132" s="935"/>
      <c r="N132" s="935"/>
      <c r="O132" s="935"/>
      <c r="P132" s="935"/>
      <c r="Q132" s="935"/>
      <c r="R132" s="935"/>
      <c r="S132" s="935"/>
      <c r="T132" s="935"/>
      <c r="U132" s="935"/>
      <c r="V132" s="935"/>
      <c r="W132" s="935"/>
      <c r="X132" s="935"/>
      <c r="Y132" s="935"/>
      <c r="Z132" s="935"/>
      <c r="AA132" s="935"/>
      <c r="AB132" s="935"/>
      <c r="AC132" s="935"/>
      <c r="AD132" s="935"/>
      <c r="AE132" s="935"/>
      <c r="AF132" s="935"/>
      <c r="AG132" s="935"/>
      <c r="AH132" s="935"/>
      <c r="AI132" s="935"/>
      <c r="AJ132" s="935"/>
      <c r="AK132" s="935"/>
      <c r="AL132" s="935"/>
      <c r="AM132" s="935"/>
      <c r="AN132" s="935"/>
      <c r="AO132" s="935"/>
      <c r="AP132" s="935"/>
      <c r="AQ132" s="935"/>
      <c r="AR132" s="935"/>
      <c r="AS132" s="935"/>
      <c r="AT132" s="935"/>
      <c r="AU132" s="935"/>
      <c r="AV132" s="935"/>
      <c r="AW132" s="935"/>
      <c r="AX132" s="935"/>
      <c r="AY132" s="935"/>
      <c r="AZ132" s="935"/>
      <c r="BA132" s="935"/>
      <c r="BB132" s="935"/>
      <c r="BC132" s="935"/>
      <c r="BD132" s="935"/>
      <c r="BE132" s="935"/>
      <c r="BF132" s="935"/>
      <c r="BG132" s="935"/>
      <c r="BH132" s="935"/>
      <c r="BI132" s="935"/>
      <c r="BJ132" s="935"/>
      <c r="BK132" s="935"/>
      <c r="BL132" s="935"/>
      <c r="BM132" s="935"/>
      <c r="BN132" s="935"/>
      <c r="BO132" s="935"/>
      <c r="BP132" s="935"/>
      <c r="BQ132" s="935"/>
      <c r="BR132" s="935"/>
      <c r="BS132" s="935"/>
      <c r="BT132" s="935"/>
    </row>
    <row r="133" spans="1:72" x14ac:dyDescent="0.25">
      <c r="A133" s="935" t="s">
        <v>473</v>
      </c>
      <c r="B133" s="935">
        <v>241.67</v>
      </c>
      <c r="C133" s="935">
        <v>254.66</v>
      </c>
      <c r="D133" s="935">
        <v>231.65</v>
      </c>
      <c r="E133" s="935">
        <v>223.76</v>
      </c>
      <c r="F133" s="935">
        <v>222.61</v>
      </c>
      <c r="G133" s="935">
        <v>230.62</v>
      </c>
      <c r="H133" s="935">
        <v>228.9</v>
      </c>
      <c r="I133" s="935">
        <v>229.4</v>
      </c>
      <c r="J133" s="935">
        <v>230.89</v>
      </c>
      <c r="K133" s="935">
        <v>234.53</v>
      </c>
      <c r="L133" s="935">
        <v>236.76</v>
      </c>
      <c r="M133" s="935">
        <v>239.14</v>
      </c>
      <c r="N133" s="935">
        <v>241.36</v>
      </c>
      <c r="O133" s="935">
        <v>245.14</v>
      </c>
      <c r="P133" s="935">
        <v>247.96</v>
      </c>
      <c r="Q133" s="935">
        <v>251.14</v>
      </c>
      <c r="R133" s="935">
        <v>253.92</v>
      </c>
      <c r="S133" s="935">
        <v>256.67</v>
      </c>
      <c r="T133" s="935">
        <v>258.7</v>
      </c>
      <c r="U133" s="935">
        <v>262.54000000000002</v>
      </c>
      <c r="V133" s="935">
        <v>266.58999999999997</v>
      </c>
      <c r="W133" s="935">
        <v>271.26</v>
      </c>
      <c r="X133" s="935">
        <v>275.8</v>
      </c>
      <c r="Y133" s="935">
        <v>280.39999999999998</v>
      </c>
      <c r="Z133" s="935">
        <v>285.83</v>
      </c>
      <c r="AA133" s="935">
        <v>290.58999999999997</v>
      </c>
      <c r="AB133" s="935">
        <v>292.89999999999998</v>
      </c>
      <c r="AC133" s="935">
        <v>297.16000000000003</v>
      </c>
      <c r="AD133" s="935">
        <v>301.11</v>
      </c>
      <c r="AE133" s="974">
        <v>6.0000000000000001E-3</v>
      </c>
      <c r="AF133" s="935"/>
      <c r="AG133" s="935"/>
      <c r="AH133" s="935"/>
      <c r="AI133" s="935"/>
      <c r="AJ133" s="935"/>
      <c r="AK133" s="935"/>
      <c r="AL133" s="935"/>
      <c r="AM133" s="935"/>
      <c r="AN133" s="935"/>
      <c r="AO133" s="935"/>
      <c r="AP133" s="935"/>
      <c r="AQ133" s="935"/>
      <c r="AR133" s="935"/>
      <c r="AS133" s="935"/>
      <c r="AT133" s="935"/>
      <c r="AU133" s="935"/>
      <c r="AV133" s="935"/>
      <c r="AW133" s="935"/>
      <c r="AX133" s="935"/>
      <c r="AY133" s="935"/>
      <c r="AZ133" s="935"/>
      <c r="BA133" s="935"/>
      <c r="BB133" s="935"/>
      <c r="BC133" s="935"/>
      <c r="BD133" s="935"/>
      <c r="BE133" s="935"/>
      <c r="BF133" s="935"/>
      <c r="BG133" s="935"/>
      <c r="BH133" s="935"/>
      <c r="BI133" s="935"/>
      <c r="BJ133" s="935"/>
      <c r="BK133" s="935"/>
      <c r="BL133" s="935"/>
      <c r="BM133" s="935"/>
      <c r="BN133" s="935"/>
      <c r="BO133" s="935"/>
      <c r="BP133" s="935"/>
      <c r="BQ133" s="935"/>
      <c r="BR133" s="935"/>
      <c r="BS133" s="935"/>
      <c r="BT133" s="935"/>
    </row>
    <row r="134" spans="1:72" x14ac:dyDescent="0.25">
      <c r="A134" s="935" t="s">
        <v>480</v>
      </c>
      <c r="B134" s="935">
        <v>176.61</v>
      </c>
      <c r="C134" s="935">
        <v>191.19</v>
      </c>
      <c r="D134" s="935">
        <v>168.7</v>
      </c>
      <c r="E134" s="935">
        <v>163.43</v>
      </c>
      <c r="F134" s="935">
        <v>163.69</v>
      </c>
      <c r="G134" s="935">
        <v>172.64</v>
      </c>
      <c r="H134" s="935">
        <v>173.85</v>
      </c>
      <c r="I134" s="935">
        <v>174.18</v>
      </c>
      <c r="J134" s="935">
        <v>176.9</v>
      </c>
      <c r="K134" s="935">
        <v>180.82</v>
      </c>
      <c r="L134" s="935">
        <v>184.11</v>
      </c>
      <c r="M134" s="935">
        <v>186.86</v>
      </c>
      <c r="N134" s="935">
        <v>189.36</v>
      </c>
      <c r="O134" s="935">
        <v>193.15</v>
      </c>
      <c r="P134" s="935">
        <v>196.83</v>
      </c>
      <c r="Q134" s="935">
        <v>200.4</v>
      </c>
      <c r="R134" s="935">
        <v>204.1</v>
      </c>
      <c r="S134" s="935">
        <v>207.27</v>
      </c>
      <c r="T134" s="935">
        <v>210.07</v>
      </c>
      <c r="U134" s="935">
        <v>214.23</v>
      </c>
      <c r="V134" s="935">
        <v>218.63</v>
      </c>
      <c r="W134" s="935">
        <v>223.34</v>
      </c>
      <c r="X134" s="935">
        <v>229.36</v>
      </c>
      <c r="Y134" s="935">
        <v>234.79</v>
      </c>
      <c r="Z134" s="935">
        <v>240.94</v>
      </c>
      <c r="AA134" s="935">
        <v>246.37</v>
      </c>
      <c r="AB134" s="935">
        <v>250.61</v>
      </c>
      <c r="AC134" s="935">
        <v>256.01</v>
      </c>
      <c r="AD134" s="935">
        <v>261.07</v>
      </c>
      <c r="AE134" s="974">
        <v>1.2E-2</v>
      </c>
      <c r="AF134" s="935"/>
      <c r="AG134" s="935"/>
      <c r="AH134" s="935"/>
      <c r="AI134" s="935"/>
      <c r="AJ134" s="935"/>
      <c r="AK134" s="935"/>
      <c r="AL134" s="935"/>
      <c r="AM134" s="935"/>
      <c r="AN134" s="935"/>
      <c r="AO134" s="935"/>
      <c r="AP134" s="935"/>
      <c r="AQ134" s="935"/>
      <c r="AR134" s="935"/>
      <c r="AS134" s="935"/>
      <c r="AT134" s="935"/>
      <c r="AU134" s="935"/>
      <c r="AV134" s="935"/>
      <c r="AW134" s="935"/>
      <c r="AX134" s="935"/>
      <c r="AY134" s="935"/>
      <c r="AZ134" s="935"/>
      <c r="BA134" s="935"/>
      <c r="BB134" s="935"/>
      <c r="BC134" s="935"/>
      <c r="BD134" s="935"/>
      <c r="BE134" s="935"/>
      <c r="BF134" s="935"/>
      <c r="BG134" s="935"/>
      <c r="BH134" s="935"/>
      <c r="BI134" s="935"/>
      <c r="BJ134" s="935"/>
      <c r="BK134" s="935"/>
      <c r="BL134" s="935"/>
      <c r="BM134" s="935"/>
      <c r="BN134" s="935"/>
      <c r="BO134" s="935"/>
      <c r="BP134" s="935"/>
      <c r="BQ134" s="935"/>
      <c r="BR134" s="935"/>
      <c r="BS134" s="935"/>
      <c r="BT134" s="935"/>
    </row>
    <row r="135" spans="1:72" x14ac:dyDescent="0.25">
      <c r="A135" s="935" t="s">
        <v>515</v>
      </c>
      <c r="B135" s="935">
        <v>219.69</v>
      </c>
      <c r="C135" s="935">
        <v>244.81</v>
      </c>
      <c r="D135" s="935">
        <v>175.42</v>
      </c>
      <c r="E135" s="935">
        <v>163.24</v>
      </c>
      <c r="F135" s="935">
        <v>173.51</v>
      </c>
      <c r="G135" s="935">
        <v>191.66</v>
      </c>
      <c r="H135" s="935">
        <v>201.52</v>
      </c>
      <c r="I135" s="935">
        <v>207.49</v>
      </c>
      <c r="J135" s="935">
        <v>213.14</v>
      </c>
      <c r="K135" s="935">
        <v>218.86</v>
      </c>
      <c r="L135" s="935">
        <v>223.15</v>
      </c>
      <c r="M135" s="935">
        <v>228.05</v>
      </c>
      <c r="N135" s="935">
        <v>231.33</v>
      </c>
      <c r="O135" s="935">
        <v>234.86</v>
      </c>
      <c r="P135" s="935">
        <v>236.42</v>
      </c>
      <c r="Q135" s="935">
        <v>237.67</v>
      </c>
      <c r="R135" s="935">
        <v>239.07</v>
      </c>
      <c r="S135" s="935">
        <v>240.3</v>
      </c>
      <c r="T135" s="935">
        <v>241.75</v>
      </c>
      <c r="U135" s="935">
        <v>242.96</v>
      </c>
      <c r="V135" s="935">
        <v>245.17</v>
      </c>
      <c r="W135" s="935">
        <v>247.67</v>
      </c>
      <c r="X135" s="935">
        <v>250.95</v>
      </c>
      <c r="Y135" s="935">
        <v>253.51</v>
      </c>
      <c r="Z135" s="935">
        <v>257.7</v>
      </c>
      <c r="AA135" s="935">
        <v>259.55</v>
      </c>
      <c r="AB135" s="935">
        <v>261.58</v>
      </c>
      <c r="AC135" s="935">
        <v>265.05</v>
      </c>
      <c r="AD135" s="935">
        <v>267.18</v>
      </c>
      <c r="AE135" s="974">
        <v>3.0000000000000001E-3</v>
      </c>
      <c r="AF135" s="935"/>
      <c r="AG135" s="935"/>
      <c r="AH135" s="935"/>
      <c r="AI135" s="935"/>
      <c r="AJ135" s="935"/>
      <c r="AK135" s="935"/>
      <c r="AL135" s="935"/>
      <c r="AM135" s="935"/>
      <c r="AN135" s="935"/>
      <c r="AO135" s="935"/>
      <c r="AP135" s="935"/>
      <c r="AQ135" s="935"/>
      <c r="AR135" s="935"/>
      <c r="AS135" s="935"/>
      <c r="AT135" s="935"/>
      <c r="AU135" s="935"/>
      <c r="AV135" s="935"/>
      <c r="AW135" s="935"/>
      <c r="AX135" s="935"/>
      <c r="AY135" s="935"/>
      <c r="AZ135" s="935"/>
      <c r="BA135" s="935"/>
      <c r="BB135" s="935"/>
      <c r="BC135" s="935"/>
      <c r="BD135" s="935"/>
      <c r="BE135" s="935"/>
      <c r="BF135" s="935"/>
      <c r="BG135" s="935"/>
      <c r="BH135" s="935"/>
      <c r="BI135" s="935"/>
      <c r="BJ135" s="935"/>
      <c r="BK135" s="935"/>
      <c r="BL135" s="935"/>
      <c r="BM135" s="935"/>
      <c r="BN135" s="935"/>
      <c r="BO135" s="935"/>
      <c r="BP135" s="935"/>
      <c r="BQ135" s="935"/>
      <c r="BR135" s="935"/>
      <c r="BS135" s="935"/>
      <c r="BT135" s="935"/>
    </row>
    <row r="136" spans="1:72" x14ac:dyDescent="0.25">
      <c r="A136" s="935" t="s">
        <v>487</v>
      </c>
      <c r="B136" s="935">
        <v>613.37</v>
      </c>
      <c r="C136" s="935">
        <v>705.86</v>
      </c>
      <c r="D136" s="935">
        <v>465.68</v>
      </c>
      <c r="E136" s="935">
        <v>508.22</v>
      </c>
      <c r="F136" s="935">
        <v>528.5</v>
      </c>
      <c r="G136" s="935">
        <v>567.33000000000004</v>
      </c>
      <c r="H136" s="935">
        <v>615.79</v>
      </c>
      <c r="I136" s="935">
        <v>640.91999999999996</v>
      </c>
      <c r="J136" s="935">
        <v>655.77</v>
      </c>
      <c r="K136" s="935">
        <v>671.91</v>
      </c>
      <c r="L136" s="935">
        <v>690.32</v>
      </c>
      <c r="M136" s="935">
        <v>704.34</v>
      </c>
      <c r="N136" s="935">
        <v>717.08</v>
      </c>
      <c r="O136" s="935">
        <v>729.77</v>
      </c>
      <c r="P136" s="935">
        <v>737.71</v>
      </c>
      <c r="Q136" s="935">
        <v>743.52</v>
      </c>
      <c r="R136" s="935">
        <v>757.24</v>
      </c>
      <c r="S136" s="935">
        <v>767.89</v>
      </c>
      <c r="T136" s="935">
        <v>782.71</v>
      </c>
      <c r="U136" s="935">
        <v>795.25</v>
      </c>
      <c r="V136" s="935">
        <v>808.06</v>
      </c>
      <c r="W136" s="935">
        <v>822.03</v>
      </c>
      <c r="X136" s="935">
        <v>834.45</v>
      </c>
      <c r="Y136" s="935">
        <v>846.64</v>
      </c>
      <c r="Z136" s="935">
        <v>856.24</v>
      </c>
      <c r="AA136" s="935">
        <v>869.12</v>
      </c>
      <c r="AB136" s="935">
        <v>883.55</v>
      </c>
      <c r="AC136" s="935">
        <v>894.05</v>
      </c>
      <c r="AD136" s="935">
        <v>908.01</v>
      </c>
      <c r="AE136" s="974">
        <v>8.9999999999999993E-3</v>
      </c>
      <c r="AF136" s="935"/>
      <c r="AG136" s="935"/>
      <c r="AH136" s="935"/>
      <c r="AI136" s="935"/>
      <c r="AJ136" s="935"/>
      <c r="AK136" s="935"/>
      <c r="AL136" s="935"/>
      <c r="AM136" s="935"/>
      <c r="AN136" s="935"/>
      <c r="AO136" s="935"/>
      <c r="AP136" s="935"/>
      <c r="AQ136" s="935"/>
      <c r="AR136" s="935"/>
      <c r="AS136" s="935"/>
      <c r="AT136" s="935"/>
      <c r="AU136" s="935"/>
      <c r="AV136" s="935"/>
      <c r="AW136" s="935"/>
      <c r="AX136" s="935"/>
      <c r="AY136" s="935"/>
      <c r="AZ136" s="935"/>
      <c r="BA136" s="935"/>
      <c r="BB136" s="935"/>
      <c r="BC136" s="935"/>
      <c r="BD136" s="935"/>
      <c r="BE136" s="935"/>
      <c r="BF136" s="935"/>
      <c r="BG136" s="935"/>
      <c r="BH136" s="935"/>
      <c r="BI136" s="935"/>
      <c r="BJ136" s="935"/>
      <c r="BK136" s="935"/>
      <c r="BL136" s="935"/>
      <c r="BM136" s="935"/>
      <c r="BN136" s="935"/>
      <c r="BO136" s="935"/>
      <c r="BP136" s="935"/>
      <c r="BQ136" s="935"/>
      <c r="BR136" s="935"/>
      <c r="BS136" s="935"/>
      <c r="BT136" s="935"/>
    </row>
    <row r="137" spans="1:72" x14ac:dyDescent="0.25">
      <c r="A137" s="935" t="s">
        <v>516</v>
      </c>
      <c r="B137" s="935">
        <v>1251.3499999999999</v>
      </c>
      <c r="C137" s="935">
        <v>1396.52</v>
      </c>
      <c r="D137" s="935">
        <v>1041.45</v>
      </c>
      <c r="E137" s="935">
        <v>1058.6500000000001</v>
      </c>
      <c r="F137" s="935">
        <v>1088.31</v>
      </c>
      <c r="G137" s="935">
        <v>1162.25</v>
      </c>
      <c r="H137" s="935">
        <v>1220.05</v>
      </c>
      <c r="I137" s="935">
        <v>1251.99</v>
      </c>
      <c r="J137" s="935">
        <v>1276.69</v>
      </c>
      <c r="K137" s="935">
        <v>1306.1199999999999</v>
      </c>
      <c r="L137" s="935">
        <v>1334.33</v>
      </c>
      <c r="M137" s="935">
        <v>1358.39</v>
      </c>
      <c r="N137" s="935">
        <v>1379.14</v>
      </c>
      <c r="O137" s="935">
        <v>1402.91</v>
      </c>
      <c r="P137" s="935">
        <v>1418.92</v>
      </c>
      <c r="Q137" s="935">
        <v>1432.73</v>
      </c>
      <c r="R137" s="935">
        <v>1454.32</v>
      </c>
      <c r="S137" s="935">
        <v>1472.13</v>
      </c>
      <c r="T137" s="935">
        <v>1493.23</v>
      </c>
      <c r="U137" s="935">
        <v>1514.98</v>
      </c>
      <c r="V137" s="935">
        <v>1538.45</v>
      </c>
      <c r="W137" s="935">
        <v>1564.3</v>
      </c>
      <c r="X137" s="935">
        <v>1590.55</v>
      </c>
      <c r="Y137" s="935">
        <v>1615.34</v>
      </c>
      <c r="Z137" s="935">
        <v>1640.71</v>
      </c>
      <c r="AA137" s="935">
        <v>1665.62</v>
      </c>
      <c r="AB137" s="935">
        <v>1688.65</v>
      </c>
      <c r="AC137" s="935">
        <v>1712.28</v>
      </c>
      <c r="AD137" s="935">
        <v>1737.37</v>
      </c>
      <c r="AE137" s="974">
        <v>8.0000000000000002E-3</v>
      </c>
      <c r="AF137" s="935"/>
      <c r="AG137" s="935"/>
      <c r="AH137" s="935"/>
      <c r="AI137" s="935"/>
      <c r="AJ137" s="935"/>
      <c r="AK137" s="935"/>
      <c r="AL137" s="935"/>
      <c r="AM137" s="935"/>
      <c r="AN137" s="935"/>
      <c r="AO137" s="935"/>
      <c r="AP137" s="935"/>
      <c r="AQ137" s="935"/>
      <c r="AR137" s="935"/>
      <c r="AS137" s="935"/>
      <c r="AT137" s="935"/>
      <c r="AU137" s="935"/>
      <c r="AV137" s="935"/>
      <c r="AW137" s="935"/>
      <c r="AX137" s="935"/>
      <c r="AY137" s="935"/>
      <c r="AZ137" s="935"/>
      <c r="BA137" s="935"/>
      <c r="BB137" s="935"/>
      <c r="BC137" s="935"/>
      <c r="BD137" s="935"/>
      <c r="BE137" s="935"/>
      <c r="BF137" s="935"/>
      <c r="BG137" s="935"/>
      <c r="BH137" s="935"/>
      <c r="BI137" s="935"/>
      <c r="BJ137" s="935"/>
      <c r="BK137" s="935"/>
      <c r="BL137" s="935"/>
      <c r="BM137" s="935"/>
      <c r="BN137" s="935"/>
      <c r="BO137" s="935"/>
      <c r="BP137" s="935"/>
      <c r="BQ137" s="935"/>
      <c r="BR137" s="935"/>
      <c r="BS137" s="935"/>
      <c r="BT137" s="935"/>
    </row>
    <row r="138" spans="1:72" x14ac:dyDescent="0.25">
      <c r="A138" s="935" t="s">
        <v>629</v>
      </c>
      <c r="B138" s="935">
        <v>0.05</v>
      </c>
      <c r="C138" s="935">
        <v>0.17</v>
      </c>
      <c r="D138" s="935">
        <v>0.04</v>
      </c>
      <c r="E138" s="935">
        <v>0.09</v>
      </c>
      <c r="F138" s="935">
        <v>0.11</v>
      </c>
      <c r="G138" s="935">
        <v>0.13</v>
      </c>
      <c r="H138" s="935">
        <v>0.15</v>
      </c>
      <c r="I138" s="935">
        <v>0.17</v>
      </c>
      <c r="J138" s="935">
        <v>0.21</v>
      </c>
      <c r="K138" s="935">
        <v>2.34</v>
      </c>
      <c r="L138" s="935">
        <v>3.15</v>
      </c>
      <c r="M138" s="935">
        <v>4</v>
      </c>
      <c r="N138" s="935">
        <v>5.31</v>
      </c>
      <c r="O138" s="935">
        <v>7.12</v>
      </c>
      <c r="P138" s="935">
        <v>9.59</v>
      </c>
      <c r="Q138" s="935">
        <v>17.39</v>
      </c>
      <c r="R138" s="935">
        <v>15.56</v>
      </c>
      <c r="S138" s="935">
        <v>14.53</v>
      </c>
      <c r="T138" s="935">
        <v>15.06</v>
      </c>
      <c r="U138" s="935">
        <v>16.98</v>
      </c>
      <c r="V138" s="935">
        <v>18.95</v>
      </c>
      <c r="W138" s="935">
        <v>20.57</v>
      </c>
      <c r="X138" s="935">
        <v>23.66</v>
      </c>
      <c r="Y138" s="935">
        <v>25.05</v>
      </c>
      <c r="Z138" s="935">
        <v>31.91</v>
      </c>
      <c r="AA138" s="935">
        <v>36.74</v>
      </c>
      <c r="AB138" s="935">
        <v>40.74</v>
      </c>
      <c r="AC138" s="935">
        <v>48.35</v>
      </c>
      <c r="AD138" s="935">
        <v>56.42</v>
      </c>
      <c r="AE138" s="974">
        <v>0.24099999999999999</v>
      </c>
      <c r="AF138" s="935"/>
      <c r="AG138" s="935"/>
      <c r="AH138" s="935"/>
      <c r="AI138" s="935"/>
      <c r="AJ138" s="935"/>
      <c r="AK138" s="935"/>
      <c r="AL138" s="935"/>
      <c r="AM138" s="935"/>
      <c r="AN138" s="935"/>
      <c r="AO138" s="935"/>
      <c r="AP138" s="935"/>
      <c r="AQ138" s="935"/>
      <c r="AR138" s="935"/>
      <c r="AS138" s="935"/>
      <c r="AT138" s="935"/>
      <c r="AU138" s="935"/>
      <c r="AV138" s="935"/>
      <c r="AW138" s="935"/>
      <c r="AX138" s="935"/>
      <c r="AY138" s="935"/>
      <c r="AZ138" s="935"/>
      <c r="BA138" s="935"/>
      <c r="BB138" s="935"/>
      <c r="BC138" s="935"/>
      <c r="BD138" s="935"/>
      <c r="BE138" s="935"/>
      <c r="BF138" s="935"/>
      <c r="BG138" s="935"/>
      <c r="BH138" s="935"/>
      <c r="BI138" s="935"/>
      <c r="BJ138" s="935"/>
      <c r="BK138" s="935"/>
      <c r="BL138" s="935"/>
      <c r="BM138" s="935"/>
      <c r="BN138" s="935"/>
      <c r="BO138" s="935"/>
      <c r="BP138" s="935"/>
      <c r="BQ138" s="935"/>
      <c r="BR138" s="935"/>
      <c r="BS138" s="935"/>
      <c r="BT138" s="935"/>
    </row>
    <row r="139" spans="1:72" x14ac:dyDescent="0.25">
      <c r="A139" s="935" t="s">
        <v>518</v>
      </c>
      <c r="B139" s="935">
        <v>1251.3900000000001</v>
      </c>
      <c r="C139" s="935">
        <v>1396.69</v>
      </c>
      <c r="D139" s="935">
        <v>1041.49</v>
      </c>
      <c r="E139" s="935">
        <v>1058.74</v>
      </c>
      <c r="F139" s="935">
        <v>1088.42</v>
      </c>
      <c r="G139" s="935">
        <v>1162.3699999999999</v>
      </c>
      <c r="H139" s="935">
        <v>1220.2</v>
      </c>
      <c r="I139" s="935">
        <v>1252.1600000000001</v>
      </c>
      <c r="J139" s="935">
        <v>1276.9000000000001</v>
      </c>
      <c r="K139" s="935">
        <v>1308.46</v>
      </c>
      <c r="L139" s="935">
        <v>1337.48</v>
      </c>
      <c r="M139" s="935">
        <v>1362.4</v>
      </c>
      <c r="N139" s="935">
        <v>1384.44</v>
      </c>
      <c r="O139" s="935">
        <v>1410.03</v>
      </c>
      <c r="P139" s="935">
        <v>1428.51</v>
      </c>
      <c r="Q139" s="935">
        <v>1450.12</v>
      </c>
      <c r="R139" s="935">
        <v>1469.88</v>
      </c>
      <c r="S139" s="935">
        <v>1486.66</v>
      </c>
      <c r="T139" s="935">
        <v>1508.29</v>
      </c>
      <c r="U139" s="935">
        <v>1531.96</v>
      </c>
      <c r="V139" s="935">
        <v>1557.41</v>
      </c>
      <c r="W139" s="935">
        <v>1584.86</v>
      </c>
      <c r="X139" s="935">
        <v>1614.21</v>
      </c>
      <c r="Y139" s="935">
        <v>1640.39</v>
      </c>
      <c r="Z139" s="935">
        <v>1672.62</v>
      </c>
      <c r="AA139" s="935">
        <v>1702.37</v>
      </c>
      <c r="AB139" s="935">
        <v>1729.39</v>
      </c>
      <c r="AC139" s="935">
        <v>1760.62</v>
      </c>
      <c r="AD139" s="935">
        <v>1793.79</v>
      </c>
      <c r="AE139" s="974">
        <v>8.9999999999999993E-3</v>
      </c>
      <c r="AF139" s="935"/>
      <c r="AG139" s="935"/>
      <c r="AH139" s="935"/>
      <c r="AI139" s="935"/>
      <c r="AJ139" s="935"/>
      <c r="AK139" s="935"/>
      <c r="AL139" s="935"/>
      <c r="AM139" s="935"/>
      <c r="AN139" s="935"/>
      <c r="AO139" s="935"/>
      <c r="AP139" s="935"/>
      <c r="AQ139" s="935"/>
      <c r="AR139" s="935"/>
      <c r="AS139" s="935"/>
      <c r="AT139" s="935"/>
      <c r="AU139" s="935"/>
      <c r="AV139" s="935"/>
      <c r="AW139" s="935"/>
      <c r="AX139" s="935"/>
      <c r="AY139" s="935"/>
      <c r="AZ139" s="935"/>
      <c r="BA139" s="935"/>
      <c r="BB139" s="935"/>
      <c r="BC139" s="935"/>
      <c r="BD139" s="935"/>
      <c r="BE139" s="935"/>
      <c r="BF139" s="935"/>
      <c r="BG139" s="935"/>
      <c r="BH139" s="935"/>
      <c r="BI139" s="935"/>
      <c r="BJ139" s="935"/>
      <c r="BK139" s="935"/>
      <c r="BL139" s="935"/>
      <c r="BM139" s="935"/>
      <c r="BN139" s="935"/>
      <c r="BO139" s="935"/>
      <c r="BP139" s="935"/>
      <c r="BQ139" s="935"/>
      <c r="BR139" s="935"/>
      <c r="BS139" s="935"/>
      <c r="BT139" s="935"/>
    </row>
    <row r="140" spans="1:72" x14ac:dyDescent="0.25">
      <c r="A140" s="935"/>
      <c r="B140" s="935"/>
      <c r="C140" s="935"/>
      <c r="D140" s="935"/>
      <c r="E140" s="935"/>
      <c r="F140" s="935"/>
      <c r="G140" s="935"/>
      <c r="H140" s="935"/>
      <c r="I140" s="935"/>
      <c r="J140" s="935"/>
      <c r="K140" s="935"/>
      <c r="L140" s="935"/>
      <c r="M140" s="935"/>
      <c r="N140" s="935"/>
      <c r="O140" s="935"/>
      <c r="P140" s="935"/>
      <c r="Q140" s="935"/>
      <c r="R140" s="935"/>
      <c r="S140" s="935"/>
      <c r="T140" s="935"/>
      <c r="U140" s="935"/>
      <c r="V140" s="935"/>
      <c r="W140" s="935"/>
      <c r="X140" s="935"/>
      <c r="Y140" s="935"/>
      <c r="Z140" s="935"/>
      <c r="AA140" s="935"/>
      <c r="AB140" s="935"/>
      <c r="AC140" s="935"/>
      <c r="AD140" s="935"/>
      <c r="AE140" s="935"/>
      <c r="AF140" s="935"/>
      <c r="AG140" s="935"/>
      <c r="AH140" s="935"/>
      <c r="AI140" s="935"/>
      <c r="AJ140" s="935"/>
      <c r="AK140" s="935"/>
      <c r="AL140" s="935"/>
      <c r="AM140" s="935"/>
      <c r="AN140" s="935"/>
      <c r="AO140" s="935"/>
      <c r="AP140" s="935"/>
      <c r="AQ140" s="935"/>
      <c r="AR140" s="935"/>
      <c r="AS140" s="935"/>
      <c r="AT140" s="935"/>
      <c r="AU140" s="935"/>
      <c r="AV140" s="935"/>
      <c r="AW140" s="935"/>
      <c r="AX140" s="935"/>
      <c r="AY140" s="935"/>
      <c r="AZ140" s="935"/>
      <c r="BA140" s="935"/>
      <c r="BB140" s="935"/>
      <c r="BC140" s="935"/>
      <c r="BD140" s="935"/>
      <c r="BE140" s="935"/>
      <c r="BF140" s="935"/>
      <c r="BG140" s="935"/>
      <c r="BH140" s="935"/>
      <c r="BI140" s="935"/>
      <c r="BJ140" s="935"/>
      <c r="BK140" s="935"/>
      <c r="BL140" s="935"/>
      <c r="BM140" s="935"/>
      <c r="BN140" s="935"/>
      <c r="BO140" s="935"/>
      <c r="BP140" s="935"/>
      <c r="BQ140" s="935"/>
      <c r="BR140" s="935"/>
      <c r="BS140" s="935"/>
      <c r="BT140" s="935"/>
    </row>
    <row r="141" spans="1:72" x14ac:dyDescent="0.25">
      <c r="A141" s="935"/>
      <c r="B141" s="935"/>
      <c r="C141" s="935"/>
      <c r="D141" s="935"/>
      <c r="E141" s="935"/>
      <c r="F141" s="935"/>
      <c r="G141" s="935"/>
      <c r="H141" s="935"/>
      <c r="I141" s="935"/>
      <c r="J141" s="935"/>
      <c r="K141" s="935"/>
      <c r="L141" s="935"/>
      <c r="M141" s="935"/>
      <c r="N141" s="935"/>
      <c r="O141" s="935"/>
      <c r="P141" s="935"/>
      <c r="Q141" s="935"/>
      <c r="R141" s="935"/>
      <c r="S141" s="935"/>
      <c r="T141" s="935"/>
      <c r="U141" s="935"/>
      <c r="V141" s="935"/>
      <c r="W141" s="935"/>
      <c r="X141" s="935"/>
      <c r="Y141" s="935"/>
      <c r="Z141" s="935"/>
      <c r="AA141" s="935"/>
      <c r="AB141" s="935"/>
      <c r="AC141" s="935"/>
      <c r="AD141" s="935"/>
      <c r="AE141" s="935"/>
      <c r="AF141" s="935"/>
      <c r="AG141" s="935"/>
      <c r="AH141" s="935"/>
      <c r="AI141" s="935"/>
      <c r="AJ141" s="935"/>
      <c r="AK141" s="935"/>
      <c r="AL141" s="935"/>
      <c r="AM141" s="935"/>
      <c r="AN141" s="935"/>
      <c r="AO141" s="935"/>
      <c r="AP141" s="935"/>
      <c r="AQ141" s="935"/>
      <c r="AR141" s="935"/>
      <c r="AS141" s="935"/>
      <c r="AT141" s="935"/>
      <c r="AU141" s="935"/>
      <c r="AV141" s="935"/>
      <c r="AW141" s="935"/>
      <c r="AX141" s="935"/>
      <c r="AY141" s="935"/>
      <c r="AZ141" s="935"/>
      <c r="BA141" s="935"/>
      <c r="BB141" s="935"/>
      <c r="BC141" s="935"/>
      <c r="BD141" s="935"/>
      <c r="BE141" s="935"/>
      <c r="BF141" s="935"/>
      <c r="BG141" s="935"/>
      <c r="BH141" s="935"/>
      <c r="BI141" s="935"/>
      <c r="BJ141" s="935"/>
      <c r="BK141" s="935"/>
      <c r="BL141" s="935"/>
      <c r="BM141" s="935"/>
      <c r="BN141" s="935"/>
      <c r="BO141" s="935"/>
      <c r="BP141" s="935"/>
      <c r="BQ141" s="935"/>
      <c r="BR141" s="935"/>
      <c r="BS141" s="935"/>
      <c r="BT141" s="935"/>
    </row>
    <row r="142" spans="1:72" x14ac:dyDescent="0.25">
      <c r="A142" s="935" t="s">
        <v>726</v>
      </c>
      <c r="B142" s="935"/>
      <c r="C142" s="935"/>
      <c r="D142" s="935"/>
      <c r="E142" s="935"/>
      <c r="F142" s="935"/>
      <c r="G142" s="935"/>
      <c r="H142" s="935"/>
      <c r="I142" s="935"/>
      <c r="J142" s="935"/>
      <c r="K142" s="935"/>
      <c r="L142" s="935"/>
      <c r="M142" s="935"/>
      <c r="N142" s="935"/>
      <c r="O142" s="935"/>
      <c r="P142" s="935"/>
      <c r="Q142" s="935"/>
      <c r="R142" s="935"/>
      <c r="S142" s="935"/>
      <c r="T142" s="935"/>
      <c r="U142" s="935"/>
      <c r="V142" s="935"/>
      <c r="W142" s="935"/>
      <c r="X142" s="935"/>
      <c r="Y142" s="935"/>
      <c r="Z142" s="935"/>
      <c r="AA142" s="935"/>
      <c r="AB142" s="935"/>
      <c r="AC142" s="935"/>
      <c r="AD142" s="935"/>
      <c r="AE142" s="935"/>
      <c r="AF142" s="935"/>
      <c r="AG142" s="935"/>
      <c r="AH142" s="935"/>
      <c r="AI142" s="935"/>
      <c r="AJ142" s="935"/>
      <c r="AK142" s="935"/>
      <c r="AL142" s="935"/>
      <c r="AM142" s="935"/>
      <c r="AN142" s="935"/>
      <c r="AO142" s="935"/>
      <c r="AP142" s="935"/>
      <c r="AQ142" s="935"/>
      <c r="AR142" s="935"/>
      <c r="AS142" s="935"/>
      <c r="AT142" s="935"/>
      <c r="AU142" s="935"/>
      <c r="AV142" s="935"/>
      <c r="AW142" s="935"/>
      <c r="AX142" s="935"/>
      <c r="AY142" s="935"/>
      <c r="AZ142" s="935"/>
      <c r="BA142" s="935"/>
      <c r="BB142" s="935"/>
      <c r="BC142" s="935"/>
      <c r="BD142" s="935"/>
      <c r="BE142" s="935"/>
      <c r="BF142" s="935"/>
      <c r="BG142" s="935"/>
      <c r="BH142" s="935"/>
      <c r="BI142" s="935"/>
      <c r="BJ142" s="935"/>
      <c r="BK142" s="935"/>
      <c r="BL142" s="935"/>
      <c r="BM142" s="935"/>
      <c r="BN142" s="935"/>
      <c r="BO142" s="935"/>
      <c r="BP142" s="935"/>
      <c r="BQ142" s="935"/>
      <c r="BR142" s="935"/>
      <c r="BS142" s="935"/>
      <c r="BT142" s="935"/>
    </row>
    <row r="143" spans="1:72" x14ac:dyDescent="0.25">
      <c r="A143" s="935" t="s">
        <v>473</v>
      </c>
      <c r="B143" s="935"/>
      <c r="C143" s="935"/>
      <c r="D143" s="935"/>
      <c r="E143" s="935"/>
      <c r="F143" s="935"/>
      <c r="G143" s="935"/>
      <c r="H143" s="935"/>
      <c r="I143" s="935"/>
      <c r="J143" s="935"/>
      <c r="K143" s="935"/>
      <c r="L143" s="935"/>
      <c r="M143" s="935"/>
      <c r="N143" s="935"/>
      <c r="O143" s="935"/>
      <c r="P143" s="935"/>
      <c r="Q143" s="935"/>
      <c r="R143" s="935"/>
      <c r="S143" s="935"/>
      <c r="T143" s="935"/>
      <c r="U143" s="935"/>
      <c r="V143" s="935"/>
      <c r="W143" s="935"/>
      <c r="X143" s="935"/>
      <c r="Y143" s="935"/>
      <c r="Z143" s="935"/>
      <c r="AA143" s="935"/>
      <c r="AB143" s="935"/>
      <c r="AC143" s="935"/>
      <c r="AD143" s="935"/>
      <c r="AE143" s="935"/>
      <c r="AF143" s="935"/>
      <c r="AG143" s="935"/>
      <c r="AH143" s="935"/>
      <c r="AI143" s="935"/>
      <c r="AJ143" s="935"/>
      <c r="AK143" s="935"/>
      <c r="AL143" s="935"/>
      <c r="AM143" s="935"/>
      <c r="AN143" s="935"/>
      <c r="AO143" s="935"/>
      <c r="AP143" s="935"/>
      <c r="AQ143" s="935"/>
      <c r="AR143" s="935"/>
      <c r="AS143" s="935"/>
      <c r="AT143" s="935"/>
      <c r="AU143" s="935"/>
      <c r="AV143" s="935"/>
      <c r="AW143" s="935"/>
      <c r="AX143" s="935"/>
      <c r="AY143" s="935"/>
      <c r="AZ143" s="935"/>
      <c r="BA143" s="935"/>
      <c r="BB143" s="935"/>
      <c r="BC143" s="935"/>
      <c r="BD143" s="935"/>
      <c r="BE143" s="935"/>
      <c r="BF143" s="935"/>
      <c r="BG143" s="935"/>
      <c r="BH143" s="935"/>
      <c r="BI143" s="935"/>
      <c r="BJ143" s="935"/>
      <c r="BK143" s="935"/>
      <c r="BL143" s="935"/>
      <c r="BM143" s="935"/>
      <c r="BN143" s="935"/>
      <c r="BO143" s="935"/>
      <c r="BP143" s="935"/>
      <c r="BQ143" s="935"/>
      <c r="BR143" s="935"/>
      <c r="BS143" s="935"/>
      <c r="BT143" s="935"/>
    </row>
    <row r="144" spans="1:72" x14ac:dyDescent="0.25">
      <c r="A144" s="935" t="s">
        <v>609</v>
      </c>
      <c r="B144" s="935">
        <v>25.67</v>
      </c>
      <c r="C144" s="935">
        <v>29.35</v>
      </c>
      <c r="D144" s="935">
        <v>25.28</v>
      </c>
      <c r="E144" s="935">
        <v>24.73</v>
      </c>
      <c r="F144" s="935">
        <v>25.15</v>
      </c>
      <c r="G144" s="935">
        <v>26.73</v>
      </c>
      <c r="H144" s="935">
        <v>28.51</v>
      </c>
      <c r="I144" s="935">
        <v>30.06</v>
      </c>
      <c r="J144" s="935">
        <v>31.23</v>
      </c>
      <c r="K144" s="935">
        <v>32.520000000000003</v>
      </c>
      <c r="L144" s="935">
        <v>33.75</v>
      </c>
      <c r="M144" s="935">
        <v>35.06</v>
      </c>
      <c r="N144" s="935">
        <v>36.020000000000003</v>
      </c>
      <c r="O144" s="935">
        <v>37.020000000000003</v>
      </c>
      <c r="P144" s="935">
        <v>38.1</v>
      </c>
      <c r="Q144" s="935">
        <v>39.200000000000003</v>
      </c>
      <c r="R144" s="935">
        <v>40.409999999999997</v>
      </c>
      <c r="S144" s="935">
        <v>41.61</v>
      </c>
      <c r="T144" s="935">
        <v>42.82</v>
      </c>
      <c r="U144" s="935">
        <v>43.92</v>
      </c>
      <c r="V144" s="935">
        <v>45.24</v>
      </c>
      <c r="W144" s="935">
        <v>46.58</v>
      </c>
      <c r="X144" s="935">
        <v>48.12</v>
      </c>
      <c r="Y144" s="935">
        <v>49.52</v>
      </c>
      <c r="Z144" s="935">
        <v>51.18</v>
      </c>
      <c r="AA144" s="935">
        <v>52.85</v>
      </c>
      <c r="AB144" s="935">
        <v>54.62</v>
      </c>
      <c r="AC144" s="935">
        <v>56.39</v>
      </c>
      <c r="AD144" s="935">
        <v>58.23</v>
      </c>
      <c r="AE144" s="974">
        <v>2.5999999999999999E-2</v>
      </c>
      <c r="AF144" s="935"/>
      <c r="AG144" s="935"/>
      <c r="AH144" s="935"/>
      <c r="AI144" s="935"/>
      <c r="AJ144" s="935"/>
      <c r="AK144" s="935"/>
      <c r="AL144" s="935"/>
      <c r="AM144" s="935"/>
      <c r="AN144" s="935"/>
      <c r="AO144" s="935"/>
      <c r="AP144" s="935"/>
      <c r="AQ144" s="935"/>
      <c r="AR144" s="935"/>
      <c r="AS144" s="935"/>
      <c r="AT144" s="935"/>
      <c r="AU144" s="935"/>
      <c r="AV144" s="935"/>
      <c r="AW144" s="935"/>
      <c r="AX144" s="935"/>
      <c r="AY144" s="935"/>
      <c r="AZ144" s="935"/>
      <c r="BA144" s="935"/>
      <c r="BB144" s="935"/>
      <c r="BC144" s="935"/>
      <c r="BD144" s="935"/>
      <c r="BE144" s="935"/>
      <c r="BF144" s="935"/>
      <c r="BG144" s="935"/>
      <c r="BH144" s="935"/>
      <c r="BI144" s="935"/>
      <c r="BJ144" s="935"/>
      <c r="BK144" s="935"/>
      <c r="BL144" s="935"/>
      <c r="BM144" s="935"/>
      <c r="BN144" s="935"/>
      <c r="BO144" s="935"/>
      <c r="BP144" s="935"/>
      <c r="BQ144" s="935"/>
      <c r="BR144" s="935"/>
      <c r="BS144" s="935"/>
      <c r="BT144" s="935"/>
    </row>
    <row r="145" spans="1:72" x14ac:dyDescent="0.25">
      <c r="A145" s="935" t="s">
        <v>610</v>
      </c>
      <c r="B145" s="935">
        <v>19.86</v>
      </c>
      <c r="C145" s="935">
        <v>24.47</v>
      </c>
      <c r="D145" s="935">
        <v>18.260000000000002</v>
      </c>
      <c r="E145" s="935">
        <v>18.100000000000001</v>
      </c>
      <c r="F145" s="935">
        <v>18.489999999999998</v>
      </c>
      <c r="G145" s="935">
        <v>19.940000000000001</v>
      </c>
      <c r="H145" s="935">
        <v>21.4</v>
      </c>
      <c r="I145" s="935">
        <v>22.55</v>
      </c>
      <c r="J145" s="935">
        <v>23.49</v>
      </c>
      <c r="K145" s="935">
        <v>24.96</v>
      </c>
      <c r="L145" s="935">
        <v>26.17</v>
      </c>
      <c r="M145" s="935">
        <v>27.44</v>
      </c>
      <c r="N145" s="935">
        <v>28.46</v>
      </c>
      <c r="O145" s="935">
        <v>29.45</v>
      </c>
      <c r="P145" s="935">
        <v>30.25</v>
      </c>
      <c r="Q145" s="935">
        <v>31.17</v>
      </c>
      <c r="R145" s="935">
        <v>32.25</v>
      </c>
      <c r="S145" s="935">
        <v>33.17</v>
      </c>
      <c r="T145" s="935">
        <v>34.24</v>
      </c>
      <c r="U145" s="935">
        <v>35.33</v>
      </c>
      <c r="V145" s="935">
        <v>36.380000000000003</v>
      </c>
      <c r="W145" s="935">
        <v>37.630000000000003</v>
      </c>
      <c r="X145" s="935">
        <v>39.049999999999997</v>
      </c>
      <c r="Y145" s="935">
        <v>40.159999999999997</v>
      </c>
      <c r="Z145" s="935">
        <v>41.73</v>
      </c>
      <c r="AA145" s="935">
        <v>43.3</v>
      </c>
      <c r="AB145" s="935">
        <v>44.82</v>
      </c>
      <c r="AC145" s="935">
        <v>46.47</v>
      </c>
      <c r="AD145" s="935">
        <v>48.16</v>
      </c>
      <c r="AE145" s="974">
        <v>2.5000000000000001E-2</v>
      </c>
      <c r="AF145" s="935"/>
      <c r="AG145" s="935"/>
      <c r="AH145" s="935"/>
      <c r="AI145" s="935"/>
      <c r="AJ145" s="935"/>
      <c r="AK145" s="935"/>
      <c r="AL145" s="935"/>
      <c r="AM145" s="935"/>
      <c r="AN145" s="935"/>
      <c r="AO145" s="935"/>
      <c r="AP145" s="935"/>
      <c r="AQ145" s="935"/>
      <c r="AR145" s="935"/>
      <c r="AS145" s="935"/>
      <c r="AT145" s="935"/>
      <c r="AU145" s="935"/>
      <c r="AV145" s="935"/>
      <c r="AW145" s="935"/>
      <c r="AX145" s="935"/>
      <c r="AY145" s="935"/>
      <c r="AZ145" s="935"/>
      <c r="BA145" s="935"/>
      <c r="BB145" s="935"/>
      <c r="BC145" s="935"/>
      <c r="BD145" s="935"/>
      <c r="BE145" s="935"/>
      <c r="BF145" s="935"/>
      <c r="BG145" s="935"/>
      <c r="BH145" s="935"/>
      <c r="BI145" s="935"/>
      <c r="BJ145" s="935"/>
      <c r="BK145" s="935"/>
      <c r="BL145" s="935"/>
      <c r="BM145" s="935"/>
      <c r="BN145" s="935"/>
      <c r="BO145" s="935"/>
      <c r="BP145" s="935"/>
      <c r="BQ145" s="935"/>
      <c r="BR145" s="935"/>
      <c r="BS145" s="935"/>
      <c r="BT145" s="935"/>
    </row>
    <row r="146" spans="1:72" x14ac:dyDescent="0.25">
      <c r="A146" s="935" t="s">
        <v>510</v>
      </c>
      <c r="B146" s="935">
        <v>12.66</v>
      </c>
      <c r="C146" s="935">
        <v>13.48</v>
      </c>
      <c r="D146" s="935">
        <v>11.57</v>
      </c>
      <c r="E146" s="935">
        <v>11.22</v>
      </c>
      <c r="F146" s="935">
        <v>12.29</v>
      </c>
      <c r="G146" s="935">
        <v>12.56</v>
      </c>
      <c r="H146" s="935">
        <v>12.36</v>
      </c>
      <c r="I146" s="935">
        <v>12.51</v>
      </c>
      <c r="J146" s="935">
        <v>12.88</v>
      </c>
      <c r="K146" s="935">
        <v>13.22</v>
      </c>
      <c r="L146" s="935">
        <v>13.5</v>
      </c>
      <c r="M146" s="935">
        <v>13.83</v>
      </c>
      <c r="N146" s="935">
        <v>14.18</v>
      </c>
      <c r="O146" s="935">
        <v>14.61</v>
      </c>
      <c r="P146" s="935">
        <v>15.06</v>
      </c>
      <c r="Q146" s="935">
        <v>15.64</v>
      </c>
      <c r="R146" s="935">
        <v>16.010000000000002</v>
      </c>
      <c r="S146" s="935">
        <v>16.22</v>
      </c>
      <c r="T146" s="935">
        <v>16.68</v>
      </c>
      <c r="U146" s="935">
        <v>17.260000000000002</v>
      </c>
      <c r="V146" s="935">
        <v>17.91</v>
      </c>
      <c r="W146" s="935">
        <v>18.649999999999999</v>
      </c>
      <c r="X146" s="935">
        <v>19.440000000000001</v>
      </c>
      <c r="Y146" s="935">
        <v>20.29</v>
      </c>
      <c r="Z146" s="935">
        <v>21.26</v>
      </c>
      <c r="AA146" s="935">
        <v>21.98</v>
      </c>
      <c r="AB146" s="935">
        <v>22.61</v>
      </c>
      <c r="AC146" s="935">
        <v>23.44</v>
      </c>
      <c r="AD146" s="935">
        <v>24.2</v>
      </c>
      <c r="AE146" s="974">
        <v>2.1999999999999999E-2</v>
      </c>
      <c r="AF146" s="935"/>
      <c r="AG146" s="935"/>
      <c r="AH146" s="935"/>
      <c r="AI146" s="935"/>
      <c r="AJ146" s="935"/>
      <c r="AK146" s="935"/>
      <c r="AL146" s="935"/>
      <c r="AM146" s="935"/>
      <c r="AN146" s="935"/>
      <c r="AO146" s="935"/>
      <c r="AP146" s="935"/>
      <c r="AQ146" s="935"/>
      <c r="AR146" s="935"/>
      <c r="AS146" s="935"/>
      <c r="AT146" s="935"/>
      <c r="AU146" s="935"/>
      <c r="AV146" s="935"/>
      <c r="AW146" s="935"/>
      <c r="AX146" s="935"/>
      <c r="AY146" s="935"/>
      <c r="AZ146" s="935"/>
      <c r="BA146" s="935"/>
      <c r="BB146" s="935"/>
      <c r="BC146" s="935"/>
      <c r="BD146" s="935"/>
      <c r="BE146" s="935"/>
      <c r="BF146" s="935"/>
      <c r="BG146" s="935"/>
      <c r="BH146" s="935"/>
      <c r="BI146" s="935"/>
      <c r="BJ146" s="935"/>
      <c r="BK146" s="935"/>
      <c r="BL146" s="935"/>
      <c r="BM146" s="935"/>
      <c r="BN146" s="935"/>
      <c r="BO146" s="935"/>
      <c r="BP146" s="935"/>
      <c r="BQ146" s="935"/>
      <c r="BR146" s="935"/>
      <c r="BS146" s="935"/>
      <c r="BT146" s="935"/>
    </row>
    <row r="147" spans="1:72" x14ac:dyDescent="0.25">
      <c r="A147" s="935" t="s">
        <v>479</v>
      </c>
      <c r="B147" s="935">
        <v>31.12</v>
      </c>
      <c r="C147" s="935">
        <v>33.29</v>
      </c>
      <c r="D147" s="935">
        <v>32.83</v>
      </c>
      <c r="E147" s="935">
        <v>31.88</v>
      </c>
      <c r="F147" s="935">
        <v>31.21</v>
      </c>
      <c r="G147" s="935">
        <v>32.9</v>
      </c>
      <c r="H147" s="935">
        <v>33.9</v>
      </c>
      <c r="I147" s="935">
        <v>34.5</v>
      </c>
      <c r="J147" s="935">
        <v>35.020000000000003</v>
      </c>
      <c r="K147" s="935">
        <v>35.89</v>
      </c>
      <c r="L147" s="935">
        <v>36.74</v>
      </c>
      <c r="M147" s="935">
        <v>37.39</v>
      </c>
      <c r="N147" s="935">
        <v>37.97</v>
      </c>
      <c r="O147" s="935">
        <v>38.92</v>
      </c>
      <c r="P147" s="935">
        <v>39.950000000000003</v>
      </c>
      <c r="Q147" s="935">
        <v>40.92</v>
      </c>
      <c r="R147" s="935">
        <v>41.95</v>
      </c>
      <c r="S147" s="935">
        <v>42.94</v>
      </c>
      <c r="T147" s="935">
        <v>43.78</v>
      </c>
      <c r="U147" s="935">
        <v>44.88</v>
      </c>
      <c r="V147" s="935">
        <v>46.07</v>
      </c>
      <c r="W147" s="935">
        <v>47.3</v>
      </c>
      <c r="X147" s="935">
        <v>48.93</v>
      </c>
      <c r="Y147" s="935">
        <v>50.5</v>
      </c>
      <c r="Z147" s="935">
        <v>52.16</v>
      </c>
      <c r="AA147" s="935">
        <v>53.81</v>
      </c>
      <c r="AB147" s="935">
        <v>55.2</v>
      </c>
      <c r="AC147" s="935">
        <v>56.77</v>
      </c>
      <c r="AD147" s="935">
        <v>58.33</v>
      </c>
      <c r="AE147" s="974">
        <v>2.1000000000000001E-2</v>
      </c>
      <c r="AF147" s="935"/>
      <c r="AG147" s="935"/>
      <c r="AH147" s="935"/>
      <c r="AI147" s="935"/>
      <c r="AJ147" s="935"/>
      <c r="AK147" s="935"/>
      <c r="AL147" s="935"/>
      <c r="AM147" s="935"/>
      <c r="AN147" s="935"/>
      <c r="AO147" s="935"/>
      <c r="AP147" s="935"/>
      <c r="AQ147" s="935"/>
      <c r="AR147" s="935"/>
      <c r="AS147" s="935"/>
      <c r="AT147" s="935"/>
      <c r="AU147" s="935"/>
      <c r="AV147" s="935"/>
      <c r="AW147" s="935"/>
      <c r="AX147" s="935"/>
      <c r="AY147" s="935"/>
      <c r="AZ147" s="935"/>
      <c r="BA147" s="935"/>
      <c r="BB147" s="935"/>
      <c r="BC147" s="935"/>
      <c r="BD147" s="935"/>
      <c r="BE147" s="935"/>
      <c r="BF147" s="935"/>
      <c r="BG147" s="935"/>
      <c r="BH147" s="935"/>
      <c r="BI147" s="935"/>
      <c r="BJ147" s="935"/>
      <c r="BK147" s="935"/>
      <c r="BL147" s="935"/>
      <c r="BM147" s="935"/>
      <c r="BN147" s="935"/>
      <c r="BO147" s="935"/>
      <c r="BP147" s="935"/>
      <c r="BQ147" s="935"/>
      <c r="BR147" s="935"/>
      <c r="BS147" s="935"/>
      <c r="BT147" s="935"/>
    </row>
    <row r="148" spans="1:72" x14ac:dyDescent="0.25">
      <c r="A148" s="935"/>
      <c r="B148" s="935"/>
      <c r="C148" s="935"/>
      <c r="D148" s="935"/>
      <c r="E148" s="935"/>
      <c r="F148" s="935"/>
      <c r="G148" s="935"/>
      <c r="H148" s="935"/>
      <c r="I148" s="935"/>
      <c r="J148" s="935"/>
      <c r="K148" s="935"/>
      <c r="L148" s="935"/>
      <c r="M148" s="935"/>
      <c r="N148" s="935"/>
      <c r="O148" s="935"/>
      <c r="P148" s="935"/>
      <c r="Q148" s="935"/>
      <c r="R148" s="935"/>
      <c r="S148" s="935"/>
      <c r="T148" s="935"/>
      <c r="U148" s="935"/>
      <c r="V148" s="935"/>
      <c r="W148" s="935"/>
      <c r="X148" s="935"/>
      <c r="Y148" s="935"/>
      <c r="Z148" s="935"/>
      <c r="AA148" s="935"/>
      <c r="AB148" s="935"/>
      <c r="AC148" s="935"/>
      <c r="AD148" s="935"/>
      <c r="AE148" s="935"/>
      <c r="AF148" s="935"/>
      <c r="AG148" s="935"/>
      <c r="AH148" s="935"/>
      <c r="AI148" s="935"/>
      <c r="AJ148" s="935"/>
      <c r="AK148" s="935"/>
      <c r="AL148" s="935"/>
      <c r="AM148" s="935"/>
      <c r="AN148" s="935"/>
      <c r="AO148" s="935"/>
      <c r="AP148" s="935"/>
      <c r="AQ148" s="935"/>
      <c r="AR148" s="935"/>
      <c r="AS148" s="935"/>
      <c r="AT148" s="935"/>
      <c r="AU148" s="935"/>
      <c r="AV148" s="935"/>
      <c r="AW148" s="935"/>
      <c r="AX148" s="935"/>
      <c r="AY148" s="935"/>
      <c r="AZ148" s="935"/>
      <c r="BA148" s="935"/>
      <c r="BB148" s="935"/>
      <c r="BC148" s="935"/>
      <c r="BD148" s="935"/>
      <c r="BE148" s="935"/>
      <c r="BF148" s="935"/>
      <c r="BG148" s="935"/>
      <c r="BH148" s="935"/>
      <c r="BI148" s="935"/>
      <c r="BJ148" s="935"/>
      <c r="BK148" s="935"/>
      <c r="BL148" s="935"/>
      <c r="BM148" s="935"/>
      <c r="BN148" s="935"/>
      <c r="BO148" s="935"/>
      <c r="BP148" s="935"/>
      <c r="BQ148" s="935"/>
      <c r="BR148" s="935"/>
      <c r="BS148" s="935"/>
      <c r="BT148" s="935"/>
    </row>
    <row r="149" spans="1:72" x14ac:dyDescent="0.25">
      <c r="A149" s="935" t="s">
        <v>480</v>
      </c>
      <c r="B149" s="935"/>
      <c r="C149" s="935"/>
      <c r="D149" s="935"/>
      <c r="E149" s="935"/>
      <c r="F149" s="935"/>
      <c r="G149" s="935"/>
      <c r="H149" s="935"/>
      <c r="I149" s="935"/>
      <c r="J149" s="935"/>
      <c r="K149" s="935"/>
      <c r="L149" s="935"/>
      <c r="M149" s="935"/>
      <c r="N149" s="935"/>
      <c r="O149" s="935"/>
      <c r="P149" s="935"/>
      <c r="Q149" s="935"/>
      <c r="R149" s="935"/>
      <c r="S149" s="935"/>
      <c r="T149" s="935"/>
      <c r="U149" s="935"/>
      <c r="V149" s="935"/>
      <c r="W149" s="935"/>
      <c r="X149" s="935"/>
      <c r="Y149" s="935"/>
      <c r="Z149" s="935"/>
      <c r="AA149" s="935"/>
      <c r="AB149" s="935"/>
      <c r="AC149" s="935"/>
      <c r="AD149" s="935"/>
      <c r="AE149" s="935"/>
      <c r="AF149" s="935"/>
      <c r="AG149" s="935"/>
      <c r="AH149" s="935"/>
      <c r="AI149" s="935"/>
      <c r="AJ149" s="935"/>
      <c r="AK149" s="935"/>
      <c r="AL149" s="935"/>
      <c r="AM149" s="935"/>
      <c r="AN149" s="935"/>
      <c r="AO149" s="935"/>
      <c r="AP149" s="935"/>
      <c r="AQ149" s="935"/>
      <c r="AR149" s="935"/>
      <c r="AS149" s="935"/>
      <c r="AT149" s="935"/>
      <c r="AU149" s="935"/>
      <c r="AV149" s="935"/>
      <c r="AW149" s="935"/>
      <c r="AX149" s="935"/>
      <c r="AY149" s="935"/>
      <c r="AZ149" s="935"/>
      <c r="BA149" s="935"/>
      <c r="BB149" s="935"/>
      <c r="BC149" s="935"/>
      <c r="BD149" s="935"/>
      <c r="BE149" s="935"/>
      <c r="BF149" s="935"/>
      <c r="BG149" s="935"/>
      <c r="BH149" s="935"/>
      <c r="BI149" s="935"/>
      <c r="BJ149" s="935"/>
      <c r="BK149" s="935"/>
      <c r="BL149" s="935"/>
      <c r="BM149" s="935"/>
      <c r="BN149" s="935"/>
      <c r="BO149" s="935"/>
      <c r="BP149" s="935"/>
      <c r="BQ149" s="935"/>
      <c r="BR149" s="935"/>
      <c r="BS149" s="935"/>
      <c r="BT149" s="935"/>
    </row>
    <row r="150" spans="1:72" x14ac:dyDescent="0.25">
      <c r="A150" s="935" t="s">
        <v>609</v>
      </c>
      <c r="B150" s="935">
        <v>20.2</v>
      </c>
      <c r="C150" s="935">
        <v>26.15</v>
      </c>
      <c r="D150" s="935">
        <v>20.12</v>
      </c>
      <c r="E150" s="935">
        <v>21.4</v>
      </c>
      <c r="F150" s="935">
        <v>21.77</v>
      </c>
      <c r="G150" s="935">
        <v>23.3</v>
      </c>
      <c r="H150" s="935">
        <v>25.02</v>
      </c>
      <c r="I150" s="935">
        <v>26.51</v>
      </c>
      <c r="J150" s="935">
        <v>27.61</v>
      </c>
      <c r="K150" s="935">
        <v>28.83</v>
      </c>
      <c r="L150" s="935">
        <v>29.98</v>
      </c>
      <c r="M150" s="935">
        <v>31.22</v>
      </c>
      <c r="N150" s="935">
        <v>32.11</v>
      </c>
      <c r="O150" s="935">
        <v>33.020000000000003</v>
      </c>
      <c r="P150" s="935">
        <v>34.01</v>
      </c>
      <c r="Q150" s="935">
        <v>35.020000000000003</v>
      </c>
      <c r="R150" s="935">
        <v>36.130000000000003</v>
      </c>
      <c r="S150" s="935">
        <v>37.24</v>
      </c>
      <c r="T150" s="935">
        <v>38.35</v>
      </c>
      <c r="U150" s="935">
        <v>39.36</v>
      </c>
      <c r="V150" s="935">
        <v>40.57</v>
      </c>
      <c r="W150" s="935">
        <v>41.81</v>
      </c>
      <c r="X150" s="935">
        <v>43.24</v>
      </c>
      <c r="Y150" s="935">
        <v>44.53</v>
      </c>
      <c r="Z150" s="935">
        <v>46.07</v>
      </c>
      <c r="AA150" s="935">
        <v>47.62</v>
      </c>
      <c r="AB150" s="935">
        <v>49.27</v>
      </c>
      <c r="AC150" s="935">
        <v>50.92</v>
      </c>
      <c r="AD150" s="935">
        <v>52.64</v>
      </c>
      <c r="AE150" s="974">
        <v>2.5999999999999999E-2</v>
      </c>
      <c r="AF150" s="935"/>
      <c r="AG150" s="935"/>
      <c r="AH150" s="935"/>
      <c r="AI150" s="935"/>
      <c r="AJ150" s="935"/>
      <c r="AK150" s="935"/>
      <c r="AL150" s="935"/>
      <c r="AM150" s="935"/>
      <c r="AN150" s="935"/>
      <c r="AO150" s="935"/>
      <c r="AP150" s="935"/>
      <c r="AQ150" s="935"/>
      <c r="AR150" s="935"/>
      <c r="AS150" s="935"/>
      <c r="AT150" s="935"/>
      <c r="AU150" s="935"/>
      <c r="AV150" s="935"/>
      <c r="AW150" s="935"/>
      <c r="AX150" s="935"/>
      <c r="AY150" s="935"/>
      <c r="AZ150" s="935"/>
      <c r="BA150" s="935"/>
      <c r="BB150" s="935"/>
      <c r="BC150" s="935"/>
      <c r="BD150" s="935"/>
      <c r="BE150" s="935"/>
      <c r="BF150" s="935"/>
      <c r="BG150" s="935"/>
      <c r="BH150" s="935"/>
      <c r="BI150" s="935"/>
      <c r="BJ150" s="935"/>
      <c r="BK150" s="935"/>
      <c r="BL150" s="935"/>
      <c r="BM150" s="935"/>
      <c r="BN150" s="935"/>
      <c r="BO150" s="935"/>
      <c r="BP150" s="935"/>
      <c r="BQ150" s="935"/>
      <c r="BR150" s="935"/>
      <c r="BS150" s="935"/>
      <c r="BT150" s="935"/>
    </row>
    <row r="151" spans="1:72" x14ac:dyDescent="0.25">
      <c r="A151" s="935" t="s">
        <v>610</v>
      </c>
      <c r="B151" s="935">
        <v>17.100000000000001</v>
      </c>
      <c r="C151" s="935">
        <v>21.5</v>
      </c>
      <c r="D151" s="935">
        <v>16.04</v>
      </c>
      <c r="E151" s="935">
        <v>15.27</v>
      </c>
      <c r="F151" s="935">
        <v>15.91</v>
      </c>
      <c r="G151" s="935">
        <v>17.34</v>
      </c>
      <c r="H151" s="935">
        <v>18.739999999999998</v>
      </c>
      <c r="I151" s="935">
        <v>19.850000000000001</v>
      </c>
      <c r="J151" s="935">
        <v>20.86</v>
      </c>
      <c r="K151" s="935">
        <v>22.18</v>
      </c>
      <c r="L151" s="935">
        <v>23.33</v>
      </c>
      <c r="M151" s="935">
        <v>24.52</v>
      </c>
      <c r="N151" s="935">
        <v>25.47</v>
      </c>
      <c r="O151" s="935">
        <v>26.39</v>
      </c>
      <c r="P151" s="935">
        <v>27.18</v>
      </c>
      <c r="Q151" s="935">
        <v>28.11</v>
      </c>
      <c r="R151" s="935">
        <v>29.04</v>
      </c>
      <c r="S151" s="935">
        <v>29.83</v>
      </c>
      <c r="T151" s="935">
        <v>30.83</v>
      </c>
      <c r="U151" s="935">
        <v>31.82</v>
      </c>
      <c r="V151" s="935">
        <v>32.83</v>
      </c>
      <c r="W151" s="935">
        <v>34.01</v>
      </c>
      <c r="X151" s="935">
        <v>35.340000000000003</v>
      </c>
      <c r="Y151" s="935">
        <v>36.380000000000003</v>
      </c>
      <c r="Z151" s="935">
        <v>37.86</v>
      </c>
      <c r="AA151" s="935">
        <v>39.340000000000003</v>
      </c>
      <c r="AB151" s="935">
        <v>40.74</v>
      </c>
      <c r="AC151" s="935">
        <v>42.29</v>
      </c>
      <c r="AD151" s="935">
        <v>43.92</v>
      </c>
      <c r="AE151" s="974">
        <v>2.7E-2</v>
      </c>
      <c r="AF151" s="935"/>
      <c r="AG151" s="935"/>
      <c r="AH151" s="935"/>
      <c r="AI151" s="935"/>
      <c r="AJ151" s="935"/>
      <c r="AK151" s="935"/>
      <c r="AL151" s="935"/>
      <c r="AM151" s="935"/>
      <c r="AN151" s="935"/>
      <c r="AO151" s="935"/>
      <c r="AP151" s="935"/>
      <c r="AQ151" s="935"/>
      <c r="AR151" s="935"/>
      <c r="AS151" s="935"/>
      <c r="AT151" s="935"/>
      <c r="AU151" s="935"/>
      <c r="AV151" s="935"/>
      <c r="AW151" s="935"/>
      <c r="AX151" s="935"/>
      <c r="AY151" s="935"/>
      <c r="AZ151" s="935"/>
      <c r="BA151" s="935"/>
      <c r="BB151" s="935"/>
      <c r="BC151" s="935"/>
      <c r="BD151" s="935"/>
      <c r="BE151" s="935"/>
      <c r="BF151" s="935"/>
      <c r="BG151" s="935"/>
      <c r="BH151" s="935"/>
      <c r="BI151" s="935"/>
      <c r="BJ151" s="935"/>
      <c r="BK151" s="935"/>
      <c r="BL151" s="935"/>
      <c r="BM151" s="935"/>
      <c r="BN151" s="935"/>
      <c r="BO151" s="935"/>
      <c r="BP151" s="935"/>
      <c r="BQ151" s="935"/>
      <c r="BR151" s="935"/>
      <c r="BS151" s="935"/>
      <c r="BT151" s="935"/>
    </row>
    <row r="152" spans="1:72" x14ac:dyDescent="0.25">
      <c r="A152" s="935" t="s">
        <v>723</v>
      </c>
      <c r="B152" s="935">
        <v>8.2100000000000009</v>
      </c>
      <c r="C152" s="935">
        <v>15.52</v>
      </c>
      <c r="D152" s="935">
        <v>9.41</v>
      </c>
      <c r="E152" s="935">
        <v>9.74</v>
      </c>
      <c r="F152" s="935">
        <v>10.050000000000001</v>
      </c>
      <c r="G152" s="935">
        <v>11.48</v>
      </c>
      <c r="H152" s="935">
        <v>12.9</v>
      </c>
      <c r="I152" s="935">
        <v>13.98</v>
      </c>
      <c r="J152" s="935">
        <v>14.63</v>
      </c>
      <c r="K152" s="935">
        <v>15.52</v>
      </c>
      <c r="L152" s="935">
        <v>16.37</v>
      </c>
      <c r="M152" s="935">
        <v>17.29</v>
      </c>
      <c r="N152" s="935">
        <v>18.29</v>
      </c>
      <c r="O152" s="935">
        <v>18.899999999999999</v>
      </c>
      <c r="P152" s="935">
        <v>19.57</v>
      </c>
      <c r="Q152" s="935">
        <v>20.27</v>
      </c>
      <c r="R152" s="935">
        <v>21.01</v>
      </c>
      <c r="S152" s="935">
        <v>21.73</v>
      </c>
      <c r="T152" s="935">
        <v>22.45</v>
      </c>
      <c r="U152" s="935">
        <v>23.04</v>
      </c>
      <c r="V152" s="935">
        <v>23.8</v>
      </c>
      <c r="W152" s="935">
        <v>24.66</v>
      </c>
      <c r="X152" s="935">
        <v>25.52</v>
      </c>
      <c r="Y152" s="935">
        <v>26.47</v>
      </c>
      <c r="Z152" s="935">
        <v>27.6</v>
      </c>
      <c r="AA152" s="935">
        <v>28.58</v>
      </c>
      <c r="AB152" s="935">
        <v>29.4</v>
      </c>
      <c r="AC152" s="935">
        <v>30.75</v>
      </c>
      <c r="AD152" s="935">
        <v>31.66</v>
      </c>
      <c r="AE152" s="974">
        <v>2.7E-2</v>
      </c>
      <c r="AF152" s="935"/>
      <c r="AG152" s="935"/>
      <c r="AH152" s="935"/>
      <c r="AI152" s="935"/>
      <c r="AJ152" s="935"/>
      <c r="AK152" s="935"/>
      <c r="AL152" s="935"/>
      <c r="AM152" s="935"/>
      <c r="AN152" s="935"/>
      <c r="AO152" s="935"/>
      <c r="AP152" s="935"/>
      <c r="AQ152" s="935"/>
      <c r="AR152" s="935"/>
      <c r="AS152" s="935"/>
      <c r="AT152" s="935"/>
      <c r="AU152" s="935"/>
      <c r="AV152" s="935"/>
      <c r="AW152" s="935"/>
      <c r="AX152" s="935"/>
      <c r="AY152" s="935"/>
      <c r="AZ152" s="935"/>
      <c r="BA152" s="935"/>
      <c r="BB152" s="935"/>
      <c r="BC152" s="935"/>
      <c r="BD152" s="935"/>
      <c r="BE152" s="935"/>
      <c r="BF152" s="935"/>
      <c r="BG152" s="935"/>
      <c r="BH152" s="935"/>
      <c r="BI152" s="935"/>
      <c r="BJ152" s="935"/>
      <c r="BK152" s="935"/>
      <c r="BL152" s="935"/>
      <c r="BM152" s="935"/>
      <c r="BN152" s="935"/>
      <c r="BO152" s="935"/>
      <c r="BP152" s="935"/>
      <c r="BQ152" s="935"/>
      <c r="BR152" s="935"/>
      <c r="BS152" s="935"/>
      <c r="BT152" s="935"/>
    </row>
    <row r="153" spans="1:72" x14ac:dyDescent="0.25">
      <c r="A153" s="935" t="s">
        <v>510</v>
      </c>
      <c r="B153" s="935">
        <v>10.96</v>
      </c>
      <c r="C153" s="935">
        <v>11.94</v>
      </c>
      <c r="D153" s="935">
        <v>9.18</v>
      </c>
      <c r="E153" s="935">
        <v>8.93</v>
      </c>
      <c r="F153" s="935">
        <v>10.15</v>
      </c>
      <c r="G153" s="935">
        <v>10.65</v>
      </c>
      <c r="H153" s="935">
        <v>10.68</v>
      </c>
      <c r="I153" s="935">
        <v>10.8</v>
      </c>
      <c r="J153" s="935">
        <v>11.14</v>
      </c>
      <c r="K153" s="935">
        <v>11.44</v>
      </c>
      <c r="L153" s="935">
        <v>11.67</v>
      </c>
      <c r="M153" s="935">
        <v>11.96</v>
      </c>
      <c r="N153" s="935">
        <v>12.27</v>
      </c>
      <c r="O153" s="935">
        <v>12.65</v>
      </c>
      <c r="P153" s="935">
        <v>13.05</v>
      </c>
      <c r="Q153" s="935">
        <v>13.58</v>
      </c>
      <c r="R153" s="935">
        <v>13.92</v>
      </c>
      <c r="S153" s="935">
        <v>14.13</v>
      </c>
      <c r="T153" s="935">
        <v>14.53</v>
      </c>
      <c r="U153" s="935">
        <v>15.05</v>
      </c>
      <c r="V153" s="935">
        <v>15.62</v>
      </c>
      <c r="W153" s="935">
        <v>16.3</v>
      </c>
      <c r="X153" s="935">
        <v>17.010000000000002</v>
      </c>
      <c r="Y153" s="935">
        <v>17.78</v>
      </c>
      <c r="Z153" s="935">
        <v>18.690000000000001</v>
      </c>
      <c r="AA153" s="935">
        <v>19.329999999999998</v>
      </c>
      <c r="AB153" s="935">
        <v>19.86</v>
      </c>
      <c r="AC153" s="935">
        <v>20.61</v>
      </c>
      <c r="AD153" s="935">
        <v>21.27</v>
      </c>
      <c r="AE153" s="974">
        <v>2.1999999999999999E-2</v>
      </c>
      <c r="AF153" s="935"/>
      <c r="AG153" s="935"/>
      <c r="AH153" s="935"/>
      <c r="AI153" s="935"/>
      <c r="AJ153" s="935"/>
      <c r="AK153" s="935"/>
      <c r="AL153" s="935"/>
      <c r="AM153" s="935"/>
      <c r="AN153" s="935"/>
      <c r="AO153" s="935"/>
      <c r="AP153" s="935"/>
      <c r="AQ153" s="935"/>
      <c r="AR153" s="935"/>
      <c r="AS153" s="935"/>
      <c r="AT153" s="935"/>
      <c r="AU153" s="935"/>
      <c r="AV153" s="935"/>
      <c r="AW153" s="935"/>
      <c r="AX153" s="935"/>
      <c r="AY153" s="935"/>
      <c r="AZ153" s="935"/>
      <c r="BA153" s="935"/>
      <c r="BB153" s="935"/>
      <c r="BC153" s="935"/>
      <c r="BD153" s="935"/>
      <c r="BE153" s="935"/>
      <c r="BF153" s="935"/>
      <c r="BG153" s="935"/>
      <c r="BH153" s="935"/>
      <c r="BI153" s="935"/>
      <c r="BJ153" s="935"/>
      <c r="BK153" s="935"/>
      <c r="BL153" s="935"/>
      <c r="BM153" s="935"/>
      <c r="BN153" s="935"/>
      <c r="BO153" s="935"/>
      <c r="BP153" s="935"/>
      <c r="BQ153" s="935"/>
      <c r="BR153" s="935"/>
      <c r="BS153" s="935"/>
      <c r="BT153" s="935"/>
    </row>
    <row r="154" spans="1:72" x14ac:dyDescent="0.25">
      <c r="A154" s="935" t="s">
        <v>479</v>
      </c>
      <c r="B154" s="935">
        <v>28.18</v>
      </c>
      <c r="C154" s="935">
        <v>30.47</v>
      </c>
      <c r="D154" s="935">
        <v>29.38</v>
      </c>
      <c r="E154" s="935">
        <v>28.19</v>
      </c>
      <c r="F154" s="935">
        <v>26.85</v>
      </c>
      <c r="G154" s="935">
        <v>28.28</v>
      </c>
      <c r="H154" s="935">
        <v>28.88</v>
      </c>
      <c r="I154" s="935">
        <v>29.09</v>
      </c>
      <c r="J154" s="935">
        <v>29.58</v>
      </c>
      <c r="K154" s="935">
        <v>30.41</v>
      </c>
      <c r="L154" s="935">
        <v>31.16</v>
      </c>
      <c r="M154" s="935">
        <v>31.75</v>
      </c>
      <c r="N154" s="935">
        <v>32.270000000000003</v>
      </c>
      <c r="O154" s="935">
        <v>33.15</v>
      </c>
      <c r="P154" s="935">
        <v>34.090000000000003</v>
      </c>
      <c r="Q154" s="935">
        <v>34.97</v>
      </c>
      <c r="R154" s="935">
        <v>35.99</v>
      </c>
      <c r="S154" s="935">
        <v>36.94</v>
      </c>
      <c r="T154" s="935">
        <v>37.619999999999997</v>
      </c>
      <c r="U154" s="935">
        <v>38.61</v>
      </c>
      <c r="V154" s="935">
        <v>39.68</v>
      </c>
      <c r="W154" s="935">
        <v>40.82</v>
      </c>
      <c r="X154" s="935">
        <v>42.33</v>
      </c>
      <c r="Y154" s="935">
        <v>43.75</v>
      </c>
      <c r="Z154" s="935">
        <v>45.32</v>
      </c>
      <c r="AA154" s="935">
        <v>46.89</v>
      </c>
      <c r="AB154" s="935">
        <v>48.18</v>
      </c>
      <c r="AC154" s="935">
        <v>49.63</v>
      </c>
      <c r="AD154" s="935">
        <v>51.04</v>
      </c>
      <c r="AE154" s="974">
        <v>1.9E-2</v>
      </c>
      <c r="AF154" s="935"/>
      <c r="AG154" s="935"/>
      <c r="AH154" s="935"/>
      <c r="AI154" s="935"/>
      <c r="AJ154" s="935"/>
      <c r="AK154" s="935"/>
      <c r="AL154" s="935"/>
      <c r="AM154" s="935"/>
      <c r="AN154" s="935"/>
      <c r="AO154" s="935"/>
      <c r="AP154" s="935"/>
      <c r="AQ154" s="935"/>
      <c r="AR154" s="935"/>
      <c r="AS154" s="935"/>
      <c r="AT154" s="935"/>
      <c r="AU154" s="935"/>
      <c r="AV154" s="935"/>
      <c r="AW154" s="935"/>
      <c r="AX154" s="935"/>
      <c r="AY154" s="935"/>
      <c r="AZ154" s="935"/>
      <c r="BA154" s="935"/>
      <c r="BB154" s="935"/>
      <c r="BC154" s="935"/>
      <c r="BD154" s="935"/>
      <c r="BE154" s="935"/>
      <c r="BF154" s="935"/>
      <c r="BG154" s="935"/>
      <c r="BH154" s="935"/>
      <c r="BI154" s="935"/>
      <c r="BJ154" s="935"/>
      <c r="BK154" s="935"/>
      <c r="BL154" s="935"/>
      <c r="BM154" s="935"/>
      <c r="BN154" s="935"/>
      <c r="BO154" s="935"/>
      <c r="BP154" s="935"/>
      <c r="BQ154" s="935"/>
      <c r="BR154" s="935"/>
      <c r="BS154" s="935"/>
      <c r="BT154" s="935"/>
    </row>
    <row r="155" spans="1:72" x14ac:dyDescent="0.25">
      <c r="A155" s="935"/>
      <c r="B155" s="935"/>
      <c r="C155" s="935"/>
      <c r="D155" s="935"/>
      <c r="E155" s="935"/>
      <c r="F155" s="935"/>
      <c r="G155" s="935"/>
      <c r="H155" s="935"/>
      <c r="I155" s="935"/>
      <c r="J155" s="935"/>
      <c r="K155" s="935"/>
      <c r="L155" s="935"/>
      <c r="M155" s="935"/>
      <c r="N155" s="935"/>
      <c r="O155" s="935"/>
      <c r="P155" s="935"/>
      <c r="Q155" s="935"/>
      <c r="R155" s="935"/>
      <c r="S155" s="935"/>
      <c r="T155" s="935"/>
      <c r="U155" s="935"/>
      <c r="V155" s="935"/>
      <c r="W155" s="935"/>
      <c r="X155" s="935"/>
      <c r="Y155" s="935"/>
      <c r="Z155" s="935"/>
      <c r="AA155" s="935"/>
      <c r="AB155" s="935"/>
      <c r="AC155" s="935"/>
      <c r="AD155" s="935"/>
      <c r="AE155" s="935"/>
      <c r="AF155" s="935"/>
      <c r="AG155" s="935"/>
      <c r="AH155" s="935"/>
      <c r="AI155" s="935"/>
      <c r="AJ155" s="935"/>
      <c r="AK155" s="935"/>
      <c r="AL155" s="935"/>
      <c r="AM155" s="935"/>
      <c r="AN155" s="935"/>
      <c r="AO155" s="935"/>
      <c r="AP155" s="935"/>
      <c r="AQ155" s="935"/>
      <c r="AR155" s="935"/>
      <c r="AS155" s="935"/>
      <c r="AT155" s="935"/>
      <c r="AU155" s="935"/>
      <c r="AV155" s="935"/>
      <c r="AW155" s="935"/>
      <c r="AX155" s="935"/>
      <c r="AY155" s="935"/>
      <c r="AZ155" s="935"/>
      <c r="BA155" s="935"/>
      <c r="BB155" s="935"/>
      <c r="BC155" s="935"/>
      <c r="BD155" s="935"/>
      <c r="BE155" s="935"/>
      <c r="BF155" s="935"/>
      <c r="BG155" s="935"/>
      <c r="BH155" s="935"/>
      <c r="BI155" s="935"/>
      <c r="BJ155" s="935"/>
      <c r="BK155" s="935"/>
      <c r="BL155" s="935"/>
      <c r="BM155" s="935"/>
      <c r="BN155" s="935"/>
      <c r="BO155" s="935"/>
      <c r="BP155" s="935"/>
      <c r="BQ155" s="935"/>
      <c r="BR155" s="935"/>
      <c r="BS155" s="935"/>
      <c r="BT155" s="935"/>
    </row>
    <row r="156" spans="1:72" x14ac:dyDescent="0.25">
      <c r="A156" s="935" t="s">
        <v>612</v>
      </c>
      <c r="B156" s="935"/>
      <c r="C156" s="935"/>
      <c r="D156" s="935"/>
      <c r="E156" s="935"/>
      <c r="F156" s="935"/>
      <c r="G156" s="935"/>
      <c r="H156" s="935"/>
      <c r="I156" s="935"/>
      <c r="J156" s="935"/>
      <c r="K156" s="935"/>
      <c r="L156" s="935"/>
      <c r="M156" s="935"/>
      <c r="N156" s="935"/>
      <c r="O156" s="935"/>
      <c r="P156" s="935"/>
      <c r="Q156" s="935"/>
      <c r="R156" s="935"/>
      <c r="S156" s="935"/>
      <c r="T156" s="935"/>
      <c r="U156" s="935"/>
      <c r="V156" s="935"/>
      <c r="W156" s="935"/>
      <c r="X156" s="935"/>
      <c r="Y156" s="935"/>
      <c r="Z156" s="935"/>
      <c r="AA156" s="935"/>
      <c r="AB156" s="935"/>
      <c r="AC156" s="935"/>
      <c r="AD156" s="935"/>
      <c r="AE156" s="935"/>
      <c r="AF156" s="935"/>
      <c r="AG156" s="935"/>
      <c r="AH156" s="935"/>
      <c r="AI156" s="935"/>
      <c r="AJ156" s="935"/>
      <c r="AK156" s="935"/>
      <c r="AL156" s="935"/>
      <c r="AM156" s="935"/>
      <c r="AN156" s="935"/>
      <c r="AO156" s="935"/>
      <c r="AP156" s="935"/>
      <c r="AQ156" s="935"/>
      <c r="AR156" s="935"/>
      <c r="AS156" s="935"/>
      <c r="AT156" s="935"/>
      <c r="AU156" s="935"/>
      <c r="AV156" s="935"/>
      <c r="AW156" s="935"/>
      <c r="AX156" s="935"/>
      <c r="AY156" s="935"/>
      <c r="AZ156" s="935"/>
      <c r="BA156" s="935"/>
      <c r="BB156" s="935"/>
      <c r="BC156" s="935"/>
      <c r="BD156" s="935"/>
      <c r="BE156" s="935"/>
      <c r="BF156" s="935"/>
      <c r="BG156" s="935"/>
      <c r="BH156" s="935"/>
      <c r="BI156" s="935"/>
      <c r="BJ156" s="935"/>
      <c r="BK156" s="935"/>
      <c r="BL156" s="935"/>
      <c r="BM156" s="935"/>
      <c r="BN156" s="935"/>
      <c r="BO156" s="935"/>
      <c r="BP156" s="935"/>
      <c r="BQ156" s="935"/>
      <c r="BR156" s="935"/>
      <c r="BS156" s="935"/>
      <c r="BT156" s="935"/>
    </row>
    <row r="157" spans="1:72" x14ac:dyDescent="0.25">
      <c r="A157" s="935" t="s">
        <v>609</v>
      </c>
      <c r="B157" s="935">
        <v>21.53</v>
      </c>
      <c r="C157" s="935">
        <v>24.2</v>
      </c>
      <c r="D157" s="935">
        <v>18.920000000000002</v>
      </c>
      <c r="E157" s="935">
        <v>18.920000000000002</v>
      </c>
      <c r="F157" s="935">
        <v>19.260000000000002</v>
      </c>
      <c r="G157" s="935">
        <v>20.76</v>
      </c>
      <c r="H157" s="935">
        <v>22.51</v>
      </c>
      <c r="I157" s="935">
        <v>24</v>
      </c>
      <c r="J157" s="935">
        <v>25.06</v>
      </c>
      <c r="K157" s="935">
        <v>26.38</v>
      </c>
      <c r="L157" s="935">
        <v>27.45</v>
      </c>
      <c r="M157" s="935">
        <v>28.6</v>
      </c>
      <c r="N157" s="935">
        <v>29.51</v>
      </c>
      <c r="O157" s="935">
        <v>30.38</v>
      </c>
      <c r="P157" s="935">
        <v>31.31</v>
      </c>
      <c r="Q157" s="935">
        <v>32.270000000000003</v>
      </c>
      <c r="R157" s="935">
        <v>33.340000000000003</v>
      </c>
      <c r="S157" s="935">
        <v>34.39</v>
      </c>
      <c r="T157" s="935">
        <v>35.450000000000003</v>
      </c>
      <c r="U157" s="935">
        <v>36.4</v>
      </c>
      <c r="V157" s="935">
        <v>37.549999999999997</v>
      </c>
      <c r="W157" s="935">
        <v>38.729999999999997</v>
      </c>
      <c r="X157" s="935">
        <v>40.1</v>
      </c>
      <c r="Y157" s="935">
        <v>41.33</v>
      </c>
      <c r="Z157" s="935">
        <v>42.81</v>
      </c>
      <c r="AA157" s="935">
        <v>44.29</v>
      </c>
      <c r="AB157" s="935">
        <v>45.9</v>
      </c>
      <c r="AC157" s="935">
        <v>47.5</v>
      </c>
      <c r="AD157" s="935">
        <v>49.15</v>
      </c>
      <c r="AE157" s="974">
        <v>2.7E-2</v>
      </c>
      <c r="AF157" s="935"/>
      <c r="AG157" s="935"/>
      <c r="AH157" s="935"/>
      <c r="AI157" s="935"/>
      <c r="AJ157" s="935"/>
      <c r="AK157" s="935"/>
      <c r="AL157" s="935"/>
      <c r="AM157" s="935"/>
      <c r="AN157" s="935"/>
      <c r="AO157" s="935"/>
      <c r="AP157" s="935"/>
      <c r="AQ157" s="935"/>
      <c r="AR157" s="935"/>
      <c r="AS157" s="935"/>
      <c r="AT157" s="935"/>
      <c r="AU157" s="935"/>
      <c r="AV157" s="935"/>
      <c r="AW157" s="935"/>
      <c r="AX157" s="935"/>
      <c r="AY157" s="935"/>
      <c r="AZ157" s="935"/>
      <c r="BA157" s="935"/>
      <c r="BB157" s="935"/>
      <c r="BC157" s="935"/>
      <c r="BD157" s="935"/>
      <c r="BE157" s="935"/>
      <c r="BF157" s="935"/>
      <c r="BG157" s="935"/>
      <c r="BH157" s="935"/>
      <c r="BI157" s="935"/>
      <c r="BJ157" s="935"/>
      <c r="BK157" s="935"/>
      <c r="BL157" s="935"/>
      <c r="BM157" s="935"/>
      <c r="BN157" s="935"/>
      <c r="BO157" s="935"/>
      <c r="BP157" s="935"/>
      <c r="BQ157" s="935"/>
      <c r="BR157" s="935"/>
      <c r="BS157" s="935"/>
      <c r="BT157" s="935"/>
    </row>
    <row r="158" spans="1:72" x14ac:dyDescent="0.25">
      <c r="A158" s="935" t="s">
        <v>610</v>
      </c>
      <c r="B158" s="935">
        <v>17.68</v>
      </c>
      <c r="C158" s="935">
        <v>22.31</v>
      </c>
      <c r="D158" s="935">
        <v>16.649999999999999</v>
      </c>
      <c r="E158" s="935">
        <v>14.82</v>
      </c>
      <c r="F158" s="935">
        <v>16.05</v>
      </c>
      <c r="G158" s="935">
        <v>17.52</v>
      </c>
      <c r="H158" s="935">
        <v>18.95</v>
      </c>
      <c r="I158" s="935">
        <v>20.07</v>
      </c>
      <c r="J158" s="935">
        <v>21.18</v>
      </c>
      <c r="K158" s="935">
        <v>22.46</v>
      </c>
      <c r="L158" s="935">
        <v>23.62</v>
      </c>
      <c r="M158" s="935">
        <v>24.81</v>
      </c>
      <c r="N158" s="935">
        <v>25.76</v>
      </c>
      <c r="O158" s="935">
        <v>26.68</v>
      </c>
      <c r="P158" s="935">
        <v>27.5</v>
      </c>
      <c r="Q158" s="935">
        <v>28.52</v>
      </c>
      <c r="R158" s="935">
        <v>29.39</v>
      </c>
      <c r="S158" s="935">
        <v>30.15</v>
      </c>
      <c r="T158" s="935">
        <v>31.18</v>
      </c>
      <c r="U158" s="935">
        <v>32.159999999999997</v>
      </c>
      <c r="V158" s="935">
        <v>33.21</v>
      </c>
      <c r="W158" s="935">
        <v>34.409999999999997</v>
      </c>
      <c r="X158" s="935">
        <v>35.770000000000003</v>
      </c>
      <c r="Y158" s="935">
        <v>36.83</v>
      </c>
      <c r="Z158" s="935">
        <v>38.33</v>
      </c>
      <c r="AA158" s="935">
        <v>39.83</v>
      </c>
      <c r="AB158" s="935">
        <v>41.25</v>
      </c>
      <c r="AC158" s="935">
        <v>42.82</v>
      </c>
      <c r="AD158" s="935">
        <v>44.51</v>
      </c>
      <c r="AE158" s="974">
        <v>2.5999999999999999E-2</v>
      </c>
      <c r="AF158" s="935"/>
      <c r="AG158" s="935"/>
      <c r="AH158" s="935"/>
      <c r="AI158" s="935"/>
      <c r="AJ158" s="935"/>
      <c r="AK158" s="935"/>
      <c r="AL158" s="935"/>
      <c r="AM158" s="935"/>
      <c r="AN158" s="935"/>
      <c r="AO158" s="935"/>
      <c r="AP158" s="935"/>
      <c r="AQ158" s="935"/>
      <c r="AR158" s="935"/>
      <c r="AS158" s="935"/>
      <c r="AT158" s="935"/>
      <c r="AU158" s="935"/>
      <c r="AV158" s="935"/>
      <c r="AW158" s="935"/>
      <c r="AX158" s="935"/>
      <c r="AY158" s="935"/>
      <c r="AZ158" s="935"/>
      <c r="BA158" s="935"/>
      <c r="BB158" s="935"/>
      <c r="BC158" s="935"/>
      <c r="BD158" s="935"/>
      <c r="BE158" s="935"/>
      <c r="BF158" s="935"/>
      <c r="BG158" s="935"/>
      <c r="BH158" s="935"/>
      <c r="BI158" s="935"/>
      <c r="BJ158" s="935"/>
      <c r="BK158" s="935"/>
      <c r="BL158" s="935"/>
      <c r="BM158" s="935"/>
      <c r="BN158" s="935"/>
      <c r="BO158" s="935"/>
      <c r="BP158" s="935"/>
      <c r="BQ158" s="935"/>
      <c r="BR158" s="935"/>
      <c r="BS158" s="935"/>
      <c r="BT158" s="935"/>
    </row>
    <row r="159" spans="1:72" x14ac:dyDescent="0.25">
      <c r="A159" s="935" t="s">
        <v>611</v>
      </c>
      <c r="B159" s="935">
        <v>8.65</v>
      </c>
      <c r="C159" s="935">
        <v>16.309999999999999</v>
      </c>
      <c r="D159" s="935">
        <v>9.89</v>
      </c>
      <c r="E159" s="935">
        <v>13.52</v>
      </c>
      <c r="F159" s="935">
        <v>13.82</v>
      </c>
      <c r="G159" s="935">
        <v>15.16</v>
      </c>
      <c r="H159" s="935">
        <v>16.489999999999998</v>
      </c>
      <c r="I159" s="935">
        <v>17.62</v>
      </c>
      <c r="J159" s="935">
        <v>18.350000000000001</v>
      </c>
      <c r="K159" s="935">
        <v>19.239999999999998</v>
      </c>
      <c r="L159" s="935">
        <v>20.059999999999999</v>
      </c>
      <c r="M159" s="935">
        <v>20.97</v>
      </c>
      <c r="N159" s="935">
        <v>21.68</v>
      </c>
      <c r="O159" s="935">
        <v>22.24</v>
      </c>
      <c r="P159" s="935">
        <v>23</v>
      </c>
      <c r="Q159" s="935">
        <v>23.74</v>
      </c>
      <c r="R159" s="935">
        <v>24.52</v>
      </c>
      <c r="S159" s="935">
        <v>25.31</v>
      </c>
      <c r="T159" s="935">
        <v>26.1</v>
      </c>
      <c r="U159" s="935">
        <v>26.74</v>
      </c>
      <c r="V159" s="935">
        <v>27.57</v>
      </c>
      <c r="W159" s="935">
        <v>28.51</v>
      </c>
      <c r="X159" s="935">
        <v>29.51</v>
      </c>
      <c r="Y159" s="935">
        <v>30.6</v>
      </c>
      <c r="Z159" s="935">
        <v>31.8</v>
      </c>
      <c r="AA159" s="935">
        <v>32.92</v>
      </c>
      <c r="AB159" s="935">
        <v>34.03</v>
      </c>
      <c r="AC159" s="935">
        <v>35.29</v>
      </c>
      <c r="AD159" s="935">
        <v>36.5</v>
      </c>
      <c r="AE159" s="974">
        <v>0.03</v>
      </c>
      <c r="AF159" s="935"/>
      <c r="AG159" s="935"/>
      <c r="AH159" s="935"/>
      <c r="AI159" s="935"/>
      <c r="AJ159" s="935"/>
      <c r="AK159" s="935"/>
      <c r="AL159" s="935"/>
      <c r="AM159" s="935"/>
      <c r="AN159" s="935"/>
      <c r="AO159" s="935"/>
      <c r="AP159" s="935"/>
      <c r="AQ159" s="935"/>
      <c r="AR159" s="935"/>
      <c r="AS159" s="935"/>
      <c r="AT159" s="935"/>
      <c r="AU159" s="935"/>
      <c r="AV159" s="935"/>
      <c r="AW159" s="935"/>
      <c r="AX159" s="935"/>
      <c r="AY159" s="935"/>
      <c r="AZ159" s="935"/>
      <c r="BA159" s="935"/>
      <c r="BB159" s="935"/>
      <c r="BC159" s="935"/>
      <c r="BD159" s="935"/>
      <c r="BE159" s="935"/>
      <c r="BF159" s="935"/>
      <c r="BG159" s="935"/>
      <c r="BH159" s="935"/>
      <c r="BI159" s="935"/>
      <c r="BJ159" s="935"/>
      <c r="BK159" s="935"/>
      <c r="BL159" s="935"/>
      <c r="BM159" s="935"/>
      <c r="BN159" s="935"/>
      <c r="BO159" s="935"/>
      <c r="BP159" s="935"/>
      <c r="BQ159" s="935"/>
      <c r="BR159" s="935"/>
      <c r="BS159" s="935"/>
      <c r="BT159" s="935"/>
    </row>
    <row r="160" spans="1:72" x14ac:dyDescent="0.25">
      <c r="A160" s="935" t="s">
        <v>613</v>
      </c>
      <c r="B160" s="935">
        <v>7.41</v>
      </c>
      <c r="C160" s="935">
        <v>9.11</v>
      </c>
      <c r="D160" s="935">
        <v>4.26</v>
      </c>
      <c r="E160" s="935">
        <v>5.0199999999999996</v>
      </c>
      <c r="F160" s="935">
        <v>6.23</v>
      </c>
      <c r="G160" s="935">
        <v>6.76</v>
      </c>
      <c r="H160" s="935">
        <v>6.82</v>
      </c>
      <c r="I160" s="935">
        <v>6.89</v>
      </c>
      <c r="J160" s="935">
        <v>7.18</v>
      </c>
      <c r="K160" s="935">
        <v>7.39</v>
      </c>
      <c r="L160" s="935">
        <v>7.52</v>
      </c>
      <c r="M160" s="935">
        <v>7.71</v>
      </c>
      <c r="N160" s="935">
        <v>7.91</v>
      </c>
      <c r="O160" s="935">
        <v>8.19</v>
      </c>
      <c r="P160" s="935">
        <v>8.4700000000000006</v>
      </c>
      <c r="Q160" s="935">
        <v>8.8800000000000008</v>
      </c>
      <c r="R160" s="935">
        <v>9.14</v>
      </c>
      <c r="S160" s="935">
        <v>9.26</v>
      </c>
      <c r="T160" s="935">
        <v>9.52</v>
      </c>
      <c r="U160" s="935">
        <v>9.9</v>
      </c>
      <c r="V160" s="935">
        <v>10.31</v>
      </c>
      <c r="W160" s="935">
        <v>10.85</v>
      </c>
      <c r="X160" s="935">
        <v>11.41</v>
      </c>
      <c r="Y160" s="935">
        <v>12.04</v>
      </c>
      <c r="Z160" s="935">
        <v>12.79</v>
      </c>
      <c r="AA160" s="935">
        <v>13.25</v>
      </c>
      <c r="AB160" s="935">
        <v>13.56</v>
      </c>
      <c r="AC160" s="935">
        <v>14.17</v>
      </c>
      <c r="AD160" s="935">
        <v>14.67</v>
      </c>
      <c r="AE160" s="974">
        <v>1.7999999999999999E-2</v>
      </c>
      <c r="AF160" s="935"/>
      <c r="AG160" s="935"/>
      <c r="AH160" s="935"/>
      <c r="AI160" s="935"/>
      <c r="AJ160" s="935"/>
      <c r="AK160" s="935"/>
      <c r="AL160" s="935"/>
      <c r="AM160" s="935"/>
      <c r="AN160" s="935"/>
      <c r="AO160" s="935"/>
      <c r="AP160" s="935"/>
      <c r="AQ160" s="935"/>
      <c r="AR160" s="935"/>
      <c r="AS160" s="935"/>
      <c r="AT160" s="935"/>
      <c r="AU160" s="935"/>
      <c r="AV160" s="935"/>
      <c r="AW160" s="935"/>
      <c r="AX160" s="935"/>
      <c r="AY160" s="935"/>
      <c r="AZ160" s="935"/>
      <c r="BA160" s="935"/>
      <c r="BB160" s="935"/>
      <c r="BC160" s="935"/>
      <c r="BD160" s="935"/>
      <c r="BE160" s="935"/>
      <c r="BF160" s="935"/>
      <c r="BG160" s="935"/>
      <c r="BH160" s="935"/>
      <c r="BI160" s="935"/>
      <c r="BJ160" s="935"/>
      <c r="BK160" s="935"/>
      <c r="BL160" s="935"/>
      <c r="BM160" s="935"/>
      <c r="BN160" s="935"/>
      <c r="BO160" s="935"/>
      <c r="BP160" s="935"/>
      <c r="BQ160" s="935"/>
      <c r="BR160" s="935"/>
      <c r="BS160" s="935"/>
      <c r="BT160" s="935"/>
    </row>
    <row r="161" spans="1:72" x14ac:dyDescent="0.25">
      <c r="A161" s="935" t="s">
        <v>614</v>
      </c>
      <c r="B161" s="935">
        <v>3.61</v>
      </c>
      <c r="C161" s="935">
        <v>4.49</v>
      </c>
      <c r="D161" s="935">
        <v>4.79</v>
      </c>
      <c r="E161" s="935">
        <v>4.9400000000000004</v>
      </c>
      <c r="F161" s="935">
        <v>5.07</v>
      </c>
      <c r="G161" s="935">
        <v>5.31</v>
      </c>
      <c r="H161" s="935">
        <v>5.44</v>
      </c>
      <c r="I161" s="935">
        <v>5.56</v>
      </c>
      <c r="J161" s="935">
        <v>5.66</v>
      </c>
      <c r="K161" s="935">
        <v>5.77</v>
      </c>
      <c r="L161" s="935">
        <v>5.97</v>
      </c>
      <c r="M161" s="935">
        <v>6.14</v>
      </c>
      <c r="N161" s="935">
        <v>6.34</v>
      </c>
      <c r="O161" s="935">
        <v>6.5</v>
      </c>
      <c r="P161" s="935">
        <v>6.68</v>
      </c>
      <c r="Q161" s="935">
        <v>6.84</v>
      </c>
      <c r="R161" s="935">
        <v>6.98</v>
      </c>
      <c r="S161" s="935">
        <v>7.07</v>
      </c>
      <c r="T161" s="935">
        <v>7.11</v>
      </c>
      <c r="U161" s="935">
        <v>7.15</v>
      </c>
      <c r="V161" s="935">
        <v>7.27</v>
      </c>
      <c r="W161" s="935">
        <v>7.43</v>
      </c>
      <c r="X161" s="935">
        <v>7.55</v>
      </c>
      <c r="Y161" s="935">
        <v>7.72</v>
      </c>
      <c r="Z161" s="935">
        <v>7.86</v>
      </c>
      <c r="AA161" s="935">
        <v>8.02</v>
      </c>
      <c r="AB161" s="935">
        <v>8.18</v>
      </c>
      <c r="AC161" s="935">
        <v>8.33</v>
      </c>
      <c r="AD161" s="935">
        <v>8.5</v>
      </c>
      <c r="AE161" s="974">
        <v>2.4E-2</v>
      </c>
      <c r="AF161" s="935"/>
      <c r="AG161" s="935"/>
      <c r="AH161" s="935"/>
      <c r="AI161" s="935"/>
      <c r="AJ161" s="935"/>
      <c r="AK161" s="935"/>
      <c r="AL161" s="935"/>
      <c r="AM161" s="935"/>
      <c r="AN161" s="935"/>
      <c r="AO161" s="935"/>
      <c r="AP161" s="935"/>
      <c r="AQ161" s="935"/>
      <c r="AR161" s="935"/>
      <c r="AS161" s="935"/>
      <c r="AT161" s="935"/>
      <c r="AU161" s="935"/>
      <c r="AV161" s="935"/>
      <c r="AW161" s="935"/>
      <c r="AX161" s="935"/>
      <c r="AY161" s="935"/>
      <c r="AZ161" s="935"/>
      <c r="BA161" s="935"/>
      <c r="BB161" s="935"/>
      <c r="BC161" s="935"/>
      <c r="BD161" s="935"/>
      <c r="BE161" s="935"/>
      <c r="BF161" s="935"/>
      <c r="BG161" s="935"/>
      <c r="BH161" s="935"/>
      <c r="BI161" s="935"/>
      <c r="BJ161" s="935"/>
      <c r="BK161" s="935"/>
      <c r="BL161" s="935"/>
      <c r="BM161" s="935"/>
      <c r="BN161" s="935"/>
      <c r="BO161" s="935"/>
      <c r="BP161" s="935"/>
      <c r="BQ161" s="935"/>
      <c r="BR161" s="935"/>
      <c r="BS161" s="935"/>
      <c r="BT161" s="935"/>
    </row>
    <row r="162" spans="1:72" x14ac:dyDescent="0.25">
      <c r="A162" s="935" t="s">
        <v>615</v>
      </c>
      <c r="B162" s="935">
        <v>2.4300000000000002</v>
      </c>
      <c r="C162" s="935">
        <v>2.84</v>
      </c>
      <c r="D162" s="935">
        <v>2.83</v>
      </c>
      <c r="E162" s="935">
        <v>2.77</v>
      </c>
      <c r="F162" s="935">
        <v>2.81</v>
      </c>
      <c r="G162" s="935">
        <v>2.85</v>
      </c>
      <c r="H162" s="935">
        <v>2.86</v>
      </c>
      <c r="I162" s="935">
        <v>2.93</v>
      </c>
      <c r="J162" s="935">
        <v>3</v>
      </c>
      <c r="K162" s="935">
        <v>3.04</v>
      </c>
      <c r="L162" s="935">
        <v>3.11</v>
      </c>
      <c r="M162" s="935">
        <v>3.16</v>
      </c>
      <c r="N162" s="935">
        <v>3.2</v>
      </c>
      <c r="O162" s="935">
        <v>3.26</v>
      </c>
      <c r="P162" s="935">
        <v>3.31</v>
      </c>
      <c r="Q162" s="935">
        <v>3.38</v>
      </c>
      <c r="R162" s="935">
        <v>3.43</v>
      </c>
      <c r="S162" s="935">
        <v>3.5</v>
      </c>
      <c r="T162" s="935">
        <v>3.56</v>
      </c>
      <c r="U162" s="935">
        <v>3.65</v>
      </c>
      <c r="V162" s="935">
        <v>3.72</v>
      </c>
      <c r="W162" s="935">
        <v>3.82</v>
      </c>
      <c r="X162" s="935">
        <v>3.91</v>
      </c>
      <c r="Y162" s="935">
        <v>4.01</v>
      </c>
      <c r="Z162" s="935">
        <v>4.12</v>
      </c>
      <c r="AA162" s="935">
        <v>4.21</v>
      </c>
      <c r="AB162" s="935">
        <v>4.33</v>
      </c>
      <c r="AC162" s="935">
        <v>4.4400000000000004</v>
      </c>
      <c r="AD162" s="935">
        <v>4.55</v>
      </c>
      <c r="AE162" s="974">
        <v>1.7999999999999999E-2</v>
      </c>
      <c r="AF162" s="935"/>
      <c r="AG162" s="935"/>
      <c r="AH162" s="935"/>
      <c r="AI162" s="935"/>
      <c r="AJ162" s="935"/>
      <c r="AK162" s="935"/>
      <c r="AL162" s="935"/>
      <c r="AM162" s="935"/>
      <c r="AN162" s="935"/>
      <c r="AO162" s="935"/>
      <c r="AP162" s="935"/>
      <c r="AQ162" s="935"/>
      <c r="AR162" s="935"/>
      <c r="AS162" s="935"/>
      <c r="AT162" s="935"/>
      <c r="AU162" s="935"/>
      <c r="AV162" s="935"/>
      <c r="AW162" s="935"/>
      <c r="AX162" s="935"/>
      <c r="AY162" s="935"/>
      <c r="AZ162" s="935"/>
      <c r="BA162" s="935"/>
      <c r="BB162" s="935"/>
      <c r="BC162" s="935"/>
      <c r="BD162" s="935"/>
      <c r="BE162" s="935"/>
      <c r="BF162" s="935"/>
      <c r="BG162" s="935"/>
      <c r="BH162" s="935"/>
      <c r="BI162" s="935"/>
      <c r="BJ162" s="935"/>
      <c r="BK162" s="935"/>
      <c r="BL162" s="935"/>
      <c r="BM162" s="935"/>
      <c r="BN162" s="935"/>
      <c r="BO162" s="935"/>
      <c r="BP162" s="935"/>
      <c r="BQ162" s="935"/>
      <c r="BR162" s="935"/>
      <c r="BS162" s="935"/>
      <c r="BT162" s="935"/>
    </row>
    <row r="163" spans="1:72" x14ac:dyDescent="0.25">
      <c r="A163" s="935" t="s">
        <v>616</v>
      </c>
      <c r="B163" s="935" t="s">
        <v>788</v>
      </c>
      <c r="C163" s="935" t="s">
        <v>788</v>
      </c>
      <c r="D163" s="935" t="s">
        <v>788</v>
      </c>
      <c r="E163" s="935" t="s">
        <v>788</v>
      </c>
      <c r="F163" s="935">
        <v>1.32</v>
      </c>
      <c r="G163" s="935">
        <v>1.1000000000000001</v>
      </c>
      <c r="H163" s="935">
        <v>1.1200000000000001</v>
      </c>
      <c r="I163" s="935">
        <v>1.55</v>
      </c>
      <c r="J163" s="935">
        <v>1.58</v>
      </c>
      <c r="K163" s="935">
        <v>1.65</v>
      </c>
      <c r="L163" s="935">
        <v>1.72</v>
      </c>
      <c r="M163" s="935">
        <v>1.74</v>
      </c>
      <c r="N163" s="935">
        <v>1.76</v>
      </c>
      <c r="O163" s="935">
        <v>1.79</v>
      </c>
      <c r="P163" s="935">
        <v>1.86</v>
      </c>
      <c r="Q163" s="935">
        <v>1.91</v>
      </c>
      <c r="R163" s="935">
        <v>1.98</v>
      </c>
      <c r="S163" s="935">
        <v>1.99</v>
      </c>
      <c r="T163" s="935">
        <v>2.02</v>
      </c>
      <c r="U163" s="935">
        <v>2.04</v>
      </c>
      <c r="V163" s="935">
        <v>2.0699999999999998</v>
      </c>
      <c r="W163" s="935">
        <v>2.1</v>
      </c>
      <c r="X163" s="935">
        <v>2.13</v>
      </c>
      <c r="Y163" s="935">
        <v>2.1800000000000002</v>
      </c>
      <c r="Z163" s="935">
        <v>2.2200000000000002</v>
      </c>
      <c r="AA163" s="935">
        <v>2.2799999999999998</v>
      </c>
      <c r="AB163" s="935">
        <v>2.35</v>
      </c>
      <c r="AC163" s="935">
        <v>2.44</v>
      </c>
      <c r="AD163" s="935">
        <v>2.5299999999999998</v>
      </c>
      <c r="AE163" s="935" t="s">
        <v>788</v>
      </c>
      <c r="AF163" s="935"/>
      <c r="AG163" s="935"/>
      <c r="AH163" s="935"/>
      <c r="AI163" s="935"/>
      <c r="AJ163" s="935"/>
      <c r="AK163" s="935"/>
      <c r="AL163" s="935"/>
      <c r="AM163" s="935"/>
      <c r="AN163" s="935"/>
      <c r="AO163" s="935"/>
      <c r="AP163" s="935"/>
      <c r="AQ163" s="935"/>
      <c r="AR163" s="935"/>
      <c r="AS163" s="935"/>
      <c r="AT163" s="935"/>
      <c r="AU163" s="935"/>
      <c r="AV163" s="935"/>
      <c r="AW163" s="935"/>
      <c r="AX163" s="935"/>
      <c r="AY163" s="935"/>
      <c r="AZ163" s="935"/>
      <c r="BA163" s="935"/>
      <c r="BB163" s="935"/>
      <c r="BC163" s="935"/>
      <c r="BD163" s="935"/>
      <c r="BE163" s="935"/>
      <c r="BF163" s="935"/>
      <c r="BG163" s="935"/>
      <c r="BH163" s="935"/>
      <c r="BI163" s="935"/>
      <c r="BJ163" s="935"/>
      <c r="BK163" s="935"/>
      <c r="BL163" s="935"/>
      <c r="BM163" s="935"/>
      <c r="BN163" s="935"/>
      <c r="BO163" s="935"/>
      <c r="BP163" s="935"/>
      <c r="BQ163" s="935"/>
      <c r="BR163" s="935"/>
      <c r="BS163" s="935"/>
      <c r="BT163" s="935"/>
    </row>
    <row r="164" spans="1:72" x14ac:dyDescent="0.25">
      <c r="A164" s="935" t="s">
        <v>479</v>
      </c>
      <c r="B164" s="935">
        <v>18.600000000000001</v>
      </c>
      <c r="C164" s="935">
        <v>20.21</v>
      </c>
      <c r="D164" s="935">
        <v>20.350000000000001</v>
      </c>
      <c r="E164" s="935">
        <v>19.73</v>
      </c>
      <c r="F164" s="935">
        <v>17.86</v>
      </c>
      <c r="G164" s="935">
        <v>18.77</v>
      </c>
      <c r="H164" s="935">
        <v>18.98</v>
      </c>
      <c r="I164" s="935">
        <v>19.010000000000002</v>
      </c>
      <c r="J164" s="935">
        <v>19.36</v>
      </c>
      <c r="K164" s="935">
        <v>19.989999999999998</v>
      </c>
      <c r="L164" s="935">
        <v>20.51</v>
      </c>
      <c r="M164" s="935">
        <v>20.91</v>
      </c>
      <c r="N164" s="935">
        <v>21.27</v>
      </c>
      <c r="O164" s="935">
        <v>21.9</v>
      </c>
      <c r="P164" s="935">
        <v>22.56</v>
      </c>
      <c r="Q164" s="935">
        <v>23.2</v>
      </c>
      <c r="R164" s="935">
        <v>23.95</v>
      </c>
      <c r="S164" s="935">
        <v>24.64</v>
      </c>
      <c r="T164" s="935">
        <v>25.11</v>
      </c>
      <c r="U164" s="935">
        <v>25.79</v>
      </c>
      <c r="V164" s="935">
        <v>26.57</v>
      </c>
      <c r="W164" s="935">
        <v>27.41</v>
      </c>
      <c r="X164" s="935">
        <v>28.5</v>
      </c>
      <c r="Y164" s="935">
        <v>29.55</v>
      </c>
      <c r="Z164" s="935">
        <v>30.67</v>
      </c>
      <c r="AA164" s="935">
        <v>31.8</v>
      </c>
      <c r="AB164" s="935">
        <v>32.71</v>
      </c>
      <c r="AC164" s="935">
        <v>33.76</v>
      </c>
      <c r="AD164" s="935">
        <v>34.799999999999997</v>
      </c>
      <c r="AE164" s="974">
        <v>0.02</v>
      </c>
      <c r="AF164" s="935"/>
      <c r="AG164" s="935"/>
      <c r="AH164" s="935"/>
      <c r="AI164" s="935"/>
      <c r="AJ164" s="935"/>
      <c r="AK164" s="935"/>
      <c r="AL164" s="935"/>
      <c r="AM164" s="935"/>
      <c r="AN164" s="935"/>
      <c r="AO164" s="935"/>
      <c r="AP164" s="935"/>
      <c r="AQ164" s="935"/>
      <c r="AR164" s="935"/>
      <c r="AS164" s="935"/>
      <c r="AT164" s="935"/>
      <c r="AU164" s="935"/>
      <c r="AV164" s="935"/>
      <c r="AW164" s="935"/>
      <c r="AX164" s="935"/>
      <c r="AY164" s="935"/>
      <c r="AZ164" s="935"/>
      <c r="BA164" s="935"/>
      <c r="BB164" s="935"/>
      <c r="BC164" s="935"/>
      <c r="BD164" s="935"/>
      <c r="BE164" s="935"/>
      <c r="BF164" s="935"/>
      <c r="BG164" s="935"/>
      <c r="BH164" s="935"/>
      <c r="BI164" s="935"/>
      <c r="BJ164" s="935"/>
      <c r="BK164" s="935"/>
      <c r="BL164" s="935"/>
      <c r="BM164" s="935"/>
      <c r="BN164" s="935"/>
      <c r="BO164" s="935"/>
      <c r="BP164" s="935"/>
      <c r="BQ164" s="935"/>
      <c r="BR164" s="935"/>
      <c r="BS164" s="935"/>
      <c r="BT164" s="935"/>
    </row>
    <row r="165" spans="1:72" x14ac:dyDescent="0.25">
      <c r="A165" s="935"/>
      <c r="B165" s="935"/>
      <c r="C165" s="935"/>
      <c r="D165" s="935"/>
      <c r="E165" s="935"/>
      <c r="F165" s="935"/>
      <c r="G165" s="935"/>
      <c r="H165" s="935"/>
      <c r="I165" s="935"/>
      <c r="J165" s="935"/>
      <c r="K165" s="935"/>
      <c r="L165" s="935"/>
      <c r="M165" s="935"/>
      <c r="N165" s="935"/>
      <c r="O165" s="935"/>
      <c r="P165" s="935"/>
      <c r="Q165" s="935"/>
      <c r="R165" s="935"/>
      <c r="S165" s="935"/>
      <c r="T165" s="935"/>
      <c r="U165" s="935"/>
      <c r="V165" s="935"/>
      <c r="W165" s="935"/>
      <c r="X165" s="935"/>
      <c r="Y165" s="935"/>
      <c r="Z165" s="935"/>
      <c r="AA165" s="935"/>
      <c r="AB165" s="935"/>
      <c r="AC165" s="935"/>
      <c r="AD165" s="935"/>
      <c r="AE165" s="935"/>
      <c r="AF165" s="935"/>
      <c r="AG165" s="935"/>
      <c r="AH165" s="935"/>
      <c r="AI165" s="935"/>
      <c r="AJ165" s="935"/>
      <c r="AK165" s="935"/>
      <c r="AL165" s="935"/>
      <c r="AM165" s="935"/>
      <c r="AN165" s="935"/>
      <c r="AO165" s="935"/>
      <c r="AP165" s="935"/>
      <c r="AQ165" s="935"/>
      <c r="AR165" s="935"/>
      <c r="AS165" s="935"/>
      <c r="AT165" s="935"/>
      <c r="AU165" s="935"/>
      <c r="AV165" s="935"/>
      <c r="AW165" s="935"/>
      <c r="AX165" s="935"/>
      <c r="AY165" s="935"/>
      <c r="AZ165" s="935"/>
      <c r="BA165" s="935"/>
      <c r="BB165" s="935"/>
      <c r="BC165" s="935"/>
      <c r="BD165" s="935"/>
      <c r="BE165" s="935"/>
      <c r="BF165" s="935"/>
      <c r="BG165" s="935"/>
      <c r="BH165" s="935"/>
      <c r="BI165" s="935"/>
      <c r="BJ165" s="935"/>
      <c r="BK165" s="935"/>
      <c r="BL165" s="935"/>
      <c r="BM165" s="935"/>
      <c r="BN165" s="935"/>
      <c r="BO165" s="935"/>
      <c r="BP165" s="935"/>
      <c r="BQ165" s="935"/>
      <c r="BR165" s="935"/>
      <c r="BS165" s="935"/>
      <c r="BT165" s="935"/>
    </row>
    <row r="166" spans="1:72" x14ac:dyDescent="0.25">
      <c r="A166" s="935" t="s">
        <v>487</v>
      </c>
      <c r="B166" s="935"/>
      <c r="C166" s="935"/>
      <c r="D166" s="935"/>
      <c r="E166" s="935"/>
      <c r="F166" s="935"/>
      <c r="G166" s="935"/>
      <c r="H166" s="935"/>
      <c r="I166" s="935"/>
      <c r="J166" s="935"/>
      <c r="K166" s="935"/>
      <c r="L166" s="935"/>
      <c r="M166" s="935"/>
      <c r="N166" s="935"/>
      <c r="O166" s="935"/>
      <c r="P166" s="935"/>
      <c r="Q166" s="935"/>
      <c r="R166" s="935"/>
      <c r="S166" s="935"/>
      <c r="T166" s="935"/>
      <c r="U166" s="935"/>
      <c r="V166" s="935"/>
      <c r="W166" s="935"/>
      <c r="X166" s="935"/>
      <c r="Y166" s="935"/>
      <c r="Z166" s="935"/>
      <c r="AA166" s="935"/>
      <c r="AB166" s="935"/>
      <c r="AC166" s="935"/>
      <c r="AD166" s="935"/>
      <c r="AE166" s="935"/>
      <c r="AF166" s="935"/>
      <c r="AG166" s="935"/>
      <c r="AH166" s="935"/>
      <c r="AI166" s="935"/>
      <c r="AJ166" s="935"/>
      <c r="AK166" s="935"/>
      <c r="AL166" s="935"/>
      <c r="AM166" s="935"/>
      <c r="AN166" s="935"/>
      <c r="AO166" s="935"/>
      <c r="AP166" s="935"/>
      <c r="AQ166" s="935"/>
      <c r="AR166" s="935"/>
      <c r="AS166" s="935"/>
      <c r="AT166" s="935"/>
      <c r="AU166" s="935"/>
      <c r="AV166" s="935"/>
      <c r="AW166" s="935"/>
      <c r="AX166" s="935"/>
      <c r="AY166" s="935"/>
      <c r="AZ166" s="935"/>
      <c r="BA166" s="935"/>
      <c r="BB166" s="935"/>
      <c r="BC166" s="935"/>
      <c r="BD166" s="935"/>
      <c r="BE166" s="935"/>
      <c r="BF166" s="935"/>
      <c r="BG166" s="935"/>
      <c r="BH166" s="935"/>
      <c r="BI166" s="935"/>
      <c r="BJ166" s="935"/>
      <c r="BK166" s="935"/>
      <c r="BL166" s="935"/>
      <c r="BM166" s="935"/>
      <c r="BN166" s="935"/>
      <c r="BO166" s="935"/>
      <c r="BP166" s="935"/>
      <c r="BQ166" s="935"/>
      <c r="BR166" s="935"/>
      <c r="BS166" s="935"/>
      <c r="BT166" s="935"/>
    </row>
    <row r="167" spans="1:72" x14ac:dyDescent="0.25">
      <c r="A167" s="935" t="s">
        <v>617</v>
      </c>
      <c r="B167" s="935">
        <v>23.31</v>
      </c>
      <c r="C167" s="935">
        <v>29.93</v>
      </c>
      <c r="D167" s="935">
        <v>25.58</v>
      </c>
      <c r="E167" s="935">
        <v>24.61</v>
      </c>
      <c r="F167" s="935">
        <v>25.02</v>
      </c>
      <c r="G167" s="935">
        <v>26.61</v>
      </c>
      <c r="H167" s="935">
        <v>28.36</v>
      </c>
      <c r="I167" s="935">
        <v>29.9</v>
      </c>
      <c r="J167" s="935">
        <v>31.07</v>
      </c>
      <c r="K167" s="935">
        <v>32.36</v>
      </c>
      <c r="L167" s="935">
        <v>33.58</v>
      </c>
      <c r="M167" s="935">
        <v>34.89</v>
      </c>
      <c r="N167" s="935">
        <v>35.840000000000003</v>
      </c>
      <c r="O167" s="935">
        <v>36.82</v>
      </c>
      <c r="P167" s="935">
        <v>37.89</v>
      </c>
      <c r="Q167" s="935">
        <v>38.979999999999997</v>
      </c>
      <c r="R167" s="935">
        <v>40.17</v>
      </c>
      <c r="S167" s="935">
        <v>41.36</v>
      </c>
      <c r="T167" s="935">
        <v>42.56</v>
      </c>
      <c r="U167" s="935">
        <v>43.64</v>
      </c>
      <c r="V167" s="935">
        <v>44.94</v>
      </c>
      <c r="W167" s="935">
        <v>46.27</v>
      </c>
      <c r="X167" s="935">
        <v>47.79</v>
      </c>
      <c r="Y167" s="935">
        <v>49.17</v>
      </c>
      <c r="Z167" s="935">
        <v>50.81</v>
      </c>
      <c r="AA167" s="935">
        <v>52.46</v>
      </c>
      <c r="AB167" s="935">
        <v>54.21</v>
      </c>
      <c r="AC167" s="935">
        <v>55.95</v>
      </c>
      <c r="AD167" s="935">
        <v>57.77</v>
      </c>
      <c r="AE167" s="974">
        <v>2.5000000000000001E-2</v>
      </c>
      <c r="AF167" s="935"/>
      <c r="AG167" s="935"/>
      <c r="AH167" s="935"/>
      <c r="AI167" s="935"/>
      <c r="AJ167" s="935"/>
      <c r="AK167" s="935"/>
      <c r="AL167" s="935"/>
      <c r="AM167" s="935"/>
      <c r="AN167" s="935"/>
      <c r="AO167" s="935"/>
      <c r="AP167" s="935"/>
      <c r="AQ167" s="935"/>
      <c r="AR167" s="935"/>
      <c r="AS167" s="935"/>
      <c r="AT167" s="935"/>
      <c r="AU167" s="935"/>
      <c r="AV167" s="935"/>
      <c r="AW167" s="935"/>
      <c r="AX167" s="935"/>
      <c r="AY167" s="935"/>
      <c r="AZ167" s="935"/>
      <c r="BA167" s="935"/>
      <c r="BB167" s="935"/>
      <c r="BC167" s="935"/>
      <c r="BD167" s="935"/>
      <c r="BE167" s="935"/>
      <c r="BF167" s="935"/>
      <c r="BG167" s="935"/>
      <c r="BH167" s="935"/>
      <c r="BI167" s="935"/>
      <c r="BJ167" s="935"/>
      <c r="BK167" s="935"/>
      <c r="BL167" s="935"/>
      <c r="BM167" s="935"/>
      <c r="BN167" s="935"/>
      <c r="BO167" s="935"/>
      <c r="BP167" s="935"/>
      <c r="BQ167" s="935"/>
      <c r="BR167" s="935"/>
      <c r="BS167" s="935"/>
      <c r="BT167" s="935"/>
    </row>
    <row r="168" spans="1:72" x14ac:dyDescent="0.25">
      <c r="A168" s="935" t="s">
        <v>618</v>
      </c>
      <c r="B168" s="935">
        <v>26.83</v>
      </c>
      <c r="C168" s="935">
        <v>26.93</v>
      </c>
      <c r="D168" s="935">
        <v>23.64</v>
      </c>
      <c r="E168" s="935">
        <v>21.26</v>
      </c>
      <c r="F168" s="935">
        <v>21.89</v>
      </c>
      <c r="G168" s="935">
        <v>23.43</v>
      </c>
      <c r="H168" s="935">
        <v>26.07</v>
      </c>
      <c r="I168" s="935">
        <v>27.64</v>
      </c>
      <c r="J168" s="935">
        <v>28.47</v>
      </c>
      <c r="K168" s="935">
        <v>28.45</v>
      </c>
      <c r="L168" s="935">
        <v>29.92</v>
      </c>
      <c r="M168" s="935">
        <v>31.23</v>
      </c>
      <c r="N168" s="935">
        <v>31.97</v>
      </c>
      <c r="O168" s="935">
        <v>32.94</v>
      </c>
      <c r="P168" s="935">
        <v>34.090000000000003</v>
      </c>
      <c r="Q168" s="935">
        <v>35.479999999999997</v>
      </c>
      <c r="R168" s="935">
        <v>36.880000000000003</v>
      </c>
      <c r="S168" s="935">
        <v>37.979999999999997</v>
      </c>
      <c r="T168" s="935">
        <v>39.17</v>
      </c>
      <c r="U168" s="935">
        <v>40.479999999999997</v>
      </c>
      <c r="V168" s="935">
        <v>41.72</v>
      </c>
      <c r="W168" s="935">
        <v>43.4</v>
      </c>
      <c r="X168" s="935">
        <v>44.96</v>
      </c>
      <c r="Y168" s="935">
        <v>46.25</v>
      </c>
      <c r="Z168" s="935">
        <v>47.62</v>
      </c>
      <c r="AA168" s="935">
        <v>49.36</v>
      </c>
      <c r="AB168" s="935">
        <v>50.75</v>
      </c>
      <c r="AC168" s="935">
        <v>52.29</v>
      </c>
      <c r="AD168" s="935">
        <v>54.17</v>
      </c>
      <c r="AE168" s="974">
        <v>2.5999999999999999E-2</v>
      </c>
      <c r="AF168" s="935"/>
      <c r="AG168" s="935"/>
      <c r="AH168" s="935"/>
      <c r="AI168" s="935"/>
      <c r="AJ168" s="935"/>
      <c r="AK168" s="935"/>
      <c r="AL168" s="935"/>
      <c r="AM168" s="935"/>
      <c r="AN168" s="935"/>
      <c r="AO168" s="935"/>
      <c r="AP168" s="935"/>
      <c r="AQ168" s="935"/>
      <c r="AR168" s="935"/>
      <c r="AS168" s="935"/>
      <c r="AT168" s="935"/>
      <c r="AU168" s="935"/>
      <c r="AV168" s="935"/>
      <c r="AW168" s="935"/>
      <c r="AX168" s="935"/>
      <c r="AY168" s="935"/>
      <c r="AZ168" s="935"/>
      <c r="BA168" s="935"/>
      <c r="BB168" s="935"/>
      <c r="BC168" s="935"/>
      <c r="BD168" s="935"/>
      <c r="BE168" s="935"/>
      <c r="BF168" s="935"/>
      <c r="BG168" s="935"/>
      <c r="BH168" s="935"/>
      <c r="BI168" s="935"/>
      <c r="BJ168" s="935"/>
      <c r="BK168" s="935"/>
      <c r="BL168" s="935"/>
      <c r="BM168" s="935"/>
      <c r="BN168" s="935"/>
      <c r="BO168" s="935"/>
      <c r="BP168" s="935"/>
      <c r="BQ168" s="935"/>
      <c r="BR168" s="935"/>
      <c r="BS168" s="935"/>
      <c r="BT168" s="935"/>
    </row>
    <row r="169" spans="1:72" x14ac:dyDescent="0.25">
      <c r="A169" s="935" t="s">
        <v>619</v>
      </c>
      <c r="B169" s="935">
        <v>23.15</v>
      </c>
      <c r="C169" s="935">
        <v>26.76</v>
      </c>
      <c r="D169" s="935">
        <v>19.43</v>
      </c>
      <c r="E169" s="935">
        <v>21.17</v>
      </c>
      <c r="F169" s="935">
        <v>21.79</v>
      </c>
      <c r="G169" s="935">
        <v>23.32</v>
      </c>
      <c r="H169" s="935">
        <v>25.87</v>
      </c>
      <c r="I169" s="935">
        <v>27.33</v>
      </c>
      <c r="J169" s="935">
        <v>28.27</v>
      </c>
      <c r="K169" s="935">
        <v>29.42</v>
      </c>
      <c r="L169" s="935">
        <v>30.58</v>
      </c>
      <c r="M169" s="935">
        <v>31.65</v>
      </c>
      <c r="N169" s="935">
        <v>32.6</v>
      </c>
      <c r="O169" s="935">
        <v>33.72</v>
      </c>
      <c r="P169" s="935">
        <v>34.72</v>
      </c>
      <c r="Q169" s="935">
        <v>35.94</v>
      </c>
      <c r="R169" s="935">
        <v>37.020000000000003</v>
      </c>
      <c r="S169" s="935">
        <v>37.96</v>
      </c>
      <c r="T169" s="935">
        <v>39.18</v>
      </c>
      <c r="U169" s="935">
        <v>40.44</v>
      </c>
      <c r="V169" s="935">
        <v>41.69</v>
      </c>
      <c r="W169" s="935">
        <v>43.21</v>
      </c>
      <c r="X169" s="935">
        <v>44.7</v>
      </c>
      <c r="Y169" s="935">
        <v>45.91</v>
      </c>
      <c r="Z169" s="935">
        <v>47.47</v>
      </c>
      <c r="AA169" s="935">
        <v>49.16</v>
      </c>
      <c r="AB169" s="935">
        <v>50.66</v>
      </c>
      <c r="AC169" s="935">
        <v>52.36</v>
      </c>
      <c r="AD169" s="935">
        <v>54.33</v>
      </c>
      <c r="AE169" s="974">
        <v>2.7E-2</v>
      </c>
      <c r="AF169" s="935"/>
      <c r="AG169" s="935"/>
      <c r="AH169" s="935"/>
      <c r="AI169" s="935"/>
      <c r="AJ169" s="935"/>
      <c r="AK169" s="935"/>
      <c r="AL169" s="935"/>
      <c r="AM169" s="935"/>
      <c r="AN169" s="935"/>
      <c r="AO169" s="935"/>
      <c r="AP169" s="935"/>
      <c r="AQ169" s="935"/>
      <c r="AR169" s="935"/>
      <c r="AS169" s="935"/>
      <c r="AT169" s="935"/>
      <c r="AU169" s="935"/>
      <c r="AV169" s="935"/>
      <c r="AW169" s="935"/>
      <c r="AX169" s="935"/>
      <c r="AY169" s="935"/>
      <c r="AZ169" s="935"/>
      <c r="BA169" s="935"/>
      <c r="BB169" s="935"/>
      <c r="BC169" s="935"/>
      <c r="BD169" s="935"/>
      <c r="BE169" s="935"/>
      <c r="BF169" s="935"/>
      <c r="BG169" s="935"/>
      <c r="BH169" s="935"/>
      <c r="BI169" s="935"/>
      <c r="BJ169" s="935"/>
      <c r="BK169" s="935"/>
      <c r="BL169" s="935"/>
      <c r="BM169" s="935"/>
      <c r="BN169" s="935"/>
      <c r="BO169" s="935"/>
      <c r="BP169" s="935"/>
      <c r="BQ169" s="935"/>
      <c r="BR169" s="935"/>
      <c r="BS169" s="935"/>
      <c r="BT169" s="935"/>
    </row>
    <row r="170" spans="1:72" x14ac:dyDescent="0.25">
      <c r="A170" s="935" t="s">
        <v>620</v>
      </c>
      <c r="B170" s="935">
        <v>15.42</v>
      </c>
      <c r="C170" s="935">
        <v>22.71</v>
      </c>
      <c r="D170" s="935">
        <v>12.92</v>
      </c>
      <c r="E170" s="935">
        <v>15.23</v>
      </c>
      <c r="F170" s="935">
        <v>15.82</v>
      </c>
      <c r="G170" s="935">
        <v>17.510000000000002</v>
      </c>
      <c r="H170" s="935">
        <v>19.05</v>
      </c>
      <c r="I170" s="935">
        <v>20.23</v>
      </c>
      <c r="J170" s="935">
        <v>21.21</v>
      </c>
      <c r="K170" s="935">
        <v>22.42</v>
      </c>
      <c r="L170" s="935">
        <v>23.58</v>
      </c>
      <c r="M170" s="935">
        <v>24.67</v>
      </c>
      <c r="N170" s="935">
        <v>25.58</v>
      </c>
      <c r="O170" s="935">
        <v>26.51</v>
      </c>
      <c r="P170" s="935">
        <v>27.27</v>
      </c>
      <c r="Q170" s="935">
        <v>28.18</v>
      </c>
      <c r="R170" s="935">
        <v>29.2</v>
      </c>
      <c r="S170" s="935">
        <v>30.07</v>
      </c>
      <c r="T170" s="935">
        <v>31.1</v>
      </c>
      <c r="U170" s="935">
        <v>32.130000000000003</v>
      </c>
      <c r="V170" s="935">
        <v>33.21</v>
      </c>
      <c r="W170" s="935">
        <v>34.54</v>
      </c>
      <c r="X170" s="935">
        <v>35.83</v>
      </c>
      <c r="Y170" s="935">
        <v>36.99</v>
      </c>
      <c r="Z170" s="935">
        <v>38.42</v>
      </c>
      <c r="AA170" s="935">
        <v>39.92</v>
      </c>
      <c r="AB170" s="935">
        <v>41.32</v>
      </c>
      <c r="AC170" s="935">
        <v>42.87</v>
      </c>
      <c r="AD170" s="935">
        <v>44.51</v>
      </c>
      <c r="AE170" s="974">
        <v>2.5000000000000001E-2</v>
      </c>
      <c r="AF170" s="935"/>
      <c r="AG170" s="935"/>
      <c r="AH170" s="935"/>
      <c r="AI170" s="935"/>
      <c r="AJ170" s="935"/>
      <c r="AK170" s="935"/>
      <c r="AL170" s="935"/>
      <c r="AM170" s="935"/>
      <c r="AN170" s="935"/>
      <c r="AO170" s="935"/>
      <c r="AP170" s="935"/>
      <c r="AQ170" s="935"/>
      <c r="AR170" s="935"/>
      <c r="AS170" s="935"/>
      <c r="AT170" s="935"/>
      <c r="AU170" s="935"/>
      <c r="AV170" s="935"/>
      <c r="AW170" s="935"/>
      <c r="AX170" s="935"/>
      <c r="AY170" s="935"/>
      <c r="AZ170" s="935"/>
      <c r="BA170" s="935"/>
      <c r="BB170" s="935"/>
      <c r="BC170" s="935"/>
      <c r="BD170" s="935"/>
      <c r="BE170" s="935"/>
      <c r="BF170" s="935"/>
      <c r="BG170" s="935"/>
      <c r="BH170" s="935"/>
      <c r="BI170" s="935"/>
      <c r="BJ170" s="935"/>
      <c r="BK170" s="935"/>
      <c r="BL170" s="935"/>
      <c r="BM170" s="935"/>
      <c r="BN170" s="935"/>
      <c r="BO170" s="935"/>
      <c r="BP170" s="935"/>
      <c r="BQ170" s="935"/>
      <c r="BR170" s="935"/>
      <c r="BS170" s="935"/>
      <c r="BT170" s="935"/>
    </row>
    <row r="171" spans="1:72" x14ac:dyDescent="0.25">
      <c r="A171" s="935" t="s">
        <v>724</v>
      </c>
      <c r="B171" s="935">
        <v>21.08</v>
      </c>
      <c r="C171" s="935">
        <v>27.65</v>
      </c>
      <c r="D171" s="935">
        <v>18.04</v>
      </c>
      <c r="E171" s="935">
        <v>19.7</v>
      </c>
      <c r="F171" s="935">
        <v>20.149999999999999</v>
      </c>
      <c r="G171" s="935">
        <v>21.71</v>
      </c>
      <c r="H171" s="935">
        <v>23.2</v>
      </c>
      <c r="I171" s="935">
        <v>24.38</v>
      </c>
      <c r="J171" s="935">
        <v>25.56</v>
      </c>
      <c r="K171" s="935">
        <v>26.86</v>
      </c>
      <c r="L171" s="935">
        <v>28.03</v>
      </c>
      <c r="M171" s="935">
        <v>29.31</v>
      </c>
      <c r="N171" s="935">
        <v>30.31</v>
      </c>
      <c r="O171" s="935">
        <v>31.28</v>
      </c>
      <c r="P171" s="935">
        <v>32.19</v>
      </c>
      <c r="Q171" s="935">
        <v>33.32</v>
      </c>
      <c r="R171" s="935">
        <v>34.22</v>
      </c>
      <c r="S171" s="935">
        <v>35.03</v>
      </c>
      <c r="T171" s="935">
        <v>36.130000000000003</v>
      </c>
      <c r="U171" s="935">
        <v>37.17</v>
      </c>
      <c r="V171" s="935">
        <v>38.32</v>
      </c>
      <c r="W171" s="935">
        <v>39.61</v>
      </c>
      <c r="X171" s="935">
        <v>41.05</v>
      </c>
      <c r="Y171" s="935">
        <v>42.2</v>
      </c>
      <c r="Z171" s="935">
        <v>43.79</v>
      </c>
      <c r="AA171" s="935">
        <v>45.41</v>
      </c>
      <c r="AB171" s="935">
        <v>46.88</v>
      </c>
      <c r="AC171" s="935">
        <v>48.53</v>
      </c>
      <c r="AD171" s="935">
        <v>50.35</v>
      </c>
      <c r="AE171" s="974">
        <v>2.1999999999999999E-2</v>
      </c>
      <c r="AF171" s="935"/>
      <c r="AG171" s="935"/>
      <c r="AH171" s="935"/>
      <c r="AI171" s="935"/>
      <c r="AJ171" s="935"/>
      <c r="AK171" s="935"/>
      <c r="AL171" s="935"/>
      <c r="AM171" s="935"/>
      <c r="AN171" s="935"/>
      <c r="AO171" s="935"/>
      <c r="AP171" s="935"/>
      <c r="AQ171" s="935"/>
      <c r="AR171" s="935"/>
      <c r="AS171" s="935"/>
      <c r="AT171" s="935"/>
      <c r="AU171" s="935"/>
      <c r="AV171" s="935"/>
      <c r="AW171" s="935"/>
      <c r="AX171" s="935"/>
      <c r="AY171" s="935"/>
      <c r="AZ171" s="935"/>
      <c r="BA171" s="935"/>
      <c r="BB171" s="935"/>
      <c r="BC171" s="935"/>
      <c r="BD171" s="935"/>
      <c r="BE171" s="935"/>
      <c r="BF171" s="935"/>
      <c r="BG171" s="935"/>
      <c r="BH171" s="935"/>
      <c r="BI171" s="935"/>
      <c r="BJ171" s="935"/>
      <c r="BK171" s="935"/>
      <c r="BL171" s="935"/>
      <c r="BM171" s="935"/>
      <c r="BN171" s="935"/>
      <c r="BO171" s="935"/>
      <c r="BP171" s="935"/>
      <c r="BQ171" s="935"/>
      <c r="BR171" s="935"/>
      <c r="BS171" s="935"/>
      <c r="BT171" s="935"/>
    </row>
    <row r="172" spans="1:72" x14ac:dyDescent="0.25">
      <c r="A172" s="935" t="s">
        <v>611</v>
      </c>
      <c r="B172" s="935">
        <v>8.99</v>
      </c>
      <c r="C172" s="935">
        <v>14.49</v>
      </c>
      <c r="D172" s="935">
        <v>9</v>
      </c>
      <c r="E172" s="935">
        <v>10.51</v>
      </c>
      <c r="F172" s="935">
        <v>10.77</v>
      </c>
      <c r="G172" s="935">
        <v>12.17</v>
      </c>
      <c r="H172" s="935">
        <v>13.4</v>
      </c>
      <c r="I172" s="935">
        <v>14.45</v>
      </c>
      <c r="J172" s="935">
        <v>15.13</v>
      </c>
      <c r="K172" s="935">
        <v>15.77</v>
      </c>
      <c r="L172" s="935">
        <v>16.670000000000002</v>
      </c>
      <c r="M172" s="935">
        <v>17.43</v>
      </c>
      <c r="N172" s="935">
        <v>17.940000000000001</v>
      </c>
      <c r="O172" s="935">
        <v>18.32</v>
      </c>
      <c r="P172" s="935">
        <v>19</v>
      </c>
      <c r="Q172" s="935">
        <v>19.57</v>
      </c>
      <c r="R172" s="935">
        <v>20.260000000000002</v>
      </c>
      <c r="S172" s="935">
        <v>20.94</v>
      </c>
      <c r="T172" s="935">
        <v>21.63</v>
      </c>
      <c r="U172" s="935">
        <v>22.13</v>
      </c>
      <c r="V172" s="935">
        <v>23.02</v>
      </c>
      <c r="W172" s="935">
        <v>23.85</v>
      </c>
      <c r="X172" s="935">
        <v>24.8</v>
      </c>
      <c r="Y172" s="935">
        <v>25.81</v>
      </c>
      <c r="Z172" s="935">
        <v>26.88</v>
      </c>
      <c r="AA172" s="935">
        <v>27.91</v>
      </c>
      <c r="AB172" s="935">
        <v>28.9</v>
      </c>
      <c r="AC172" s="935">
        <v>30.02</v>
      </c>
      <c r="AD172" s="935">
        <v>31.26</v>
      </c>
      <c r="AE172" s="974">
        <v>2.9000000000000001E-2</v>
      </c>
      <c r="AF172" s="935"/>
      <c r="AG172" s="935"/>
      <c r="AH172" s="935"/>
      <c r="AI172" s="935"/>
      <c r="AJ172" s="935"/>
      <c r="AK172" s="935"/>
      <c r="AL172" s="935"/>
      <c r="AM172" s="935"/>
      <c r="AN172" s="935"/>
      <c r="AO172" s="935"/>
      <c r="AP172" s="935"/>
      <c r="AQ172" s="935"/>
      <c r="AR172" s="935"/>
      <c r="AS172" s="935"/>
      <c r="AT172" s="935"/>
      <c r="AU172" s="935"/>
      <c r="AV172" s="935"/>
      <c r="AW172" s="935"/>
      <c r="AX172" s="935"/>
      <c r="AY172" s="935"/>
      <c r="AZ172" s="935"/>
      <c r="BA172" s="935"/>
      <c r="BB172" s="935"/>
      <c r="BC172" s="935"/>
      <c r="BD172" s="935"/>
      <c r="BE172" s="935"/>
      <c r="BF172" s="935"/>
      <c r="BG172" s="935"/>
      <c r="BH172" s="935"/>
      <c r="BI172" s="935"/>
      <c r="BJ172" s="935"/>
      <c r="BK172" s="935"/>
      <c r="BL172" s="935"/>
      <c r="BM172" s="935"/>
      <c r="BN172" s="935"/>
      <c r="BO172" s="935"/>
      <c r="BP172" s="935"/>
      <c r="BQ172" s="935"/>
      <c r="BR172" s="935"/>
      <c r="BS172" s="935"/>
      <c r="BT172" s="935"/>
    </row>
    <row r="173" spans="1:72" x14ac:dyDescent="0.25">
      <c r="A173" s="935" t="s">
        <v>622</v>
      </c>
      <c r="B173" s="935">
        <v>13.54</v>
      </c>
      <c r="C173" s="935">
        <v>15.96</v>
      </c>
      <c r="D173" s="935">
        <v>11.54</v>
      </c>
      <c r="E173" s="935">
        <v>12.36</v>
      </c>
      <c r="F173" s="935">
        <v>13.66</v>
      </c>
      <c r="G173" s="935">
        <v>14.28</v>
      </c>
      <c r="H173" s="935">
        <v>14.39</v>
      </c>
      <c r="I173" s="935">
        <v>14.52</v>
      </c>
      <c r="J173" s="935">
        <v>14.9</v>
      </c>
      <c r="K173" s="935">
        <v>15.21</v>
      </c>
      <c r="L173" s="935">
        <v>15.46</v>
      </c>
      <c r="M173" s="935">
        <v>15.74</v>
      </c>
      <c r="N173" s="935">
        <v>16.04</v>
      </c>
      <c r="O173" s="935">
        <v>16.43</v>
      </c>
      <c r="P173" s="935">
        <v>16.8</v>
      </c>
      <c r="Q173" s="935">
        <v>17.32</v>
      </c>
      <c r="R173" s="935">
        <v>17.64</v>
      </c>
      <c r="S173" s="935">
        <v>17.829999999999998</v>
      </c>
      <c r="T173" s="935">
        <v>18.23</v>
      </c>
      <c r="U173" s="935">
        <v>18.760000000000002</v>
      </c>
      <c r="V173" s="935">
        <v>19.309999999999999</v>
      </c>
      <c r="W173" s="935">
        <v>19.98</v>
      </c>
      <c r="X173" s="935">
        <v>20.67</v>
      </c>
      <c r="Y173" s="935">
        <v>21.42</v>
      </c>
      <c r="Z173" s="935">
        <v>22.31</v>
      </c>
      <c r="AA173" s="935">
        <v>22.94</v>
      </c>
      <c r="AB173" s="935">
        <v>23.44</v>
      </c>
      <c r="AC173" s="935">
        <v>24.19</v>
      </c>
      <c r="AD173" s="935">
        <v>24.84</v>
      </c>
      <c r="AE173" s="974">
        <v>1.7000000000000001E-2</v>
      </c>
      <c r="AF173" s="935"/>
      <c r="AG173" s="935"/>
      <c r="AH173" s="935"/>
      <c r="AI173" s="935"/>
      <c r="AJ173" s="935"/>
      <c r="AK173" s="935"/>
      <c r="AL173" s="935"/>
      <c r="AM173" s="935"/>
      <c r="AN173" s="935"/>
      <c r="AO173" s="935"/>
      <c r="AP173" s="935"/>
      <c r="AQ173" s="935"/>
      <c r="AR173" s="935"/>
      <c r="AS173" s="935"/>
      <c r="AT173" s="935"/>
      <c r="AU173" s="935"/>
      <c r="AV173" s="935"/>
      <c r="AW173" s="935"/>
      <c r="AX173" s="935"/>
      <c r="AY173" s="935"/>
      <c r="AZ173" s="935"/>
      <c r="BA173" s="935"/>
      <c r="BB173" s="935"/>
      <c r="BC173" s="935"/>
      <c r="BD173" s="935"/>
      <c r="BE173" s="935"/>
      <c r="BF173" s="935"/>
      <c r="BG173" s="935"/>
      <c r="BH173" s="935"/>
      <c r="BI173" s="935"/>
      <c r="BJ173" s="935"/>
      <c r="BK173" s="935"/>
      <c r="BL173" s="935"/>
      <c r="BM173" s="935"/>
      <c r="BN173" s="935"/>
      <c r="BO173" s="935"/>
      <c r="BP173" s="935"/>
      <c r="BQ173" s="935"/>
      <c r="BR173" s="935"/>
      <c r="BS173" s="935"/>
      <c r="BT173" s="935"/>
    </row>
    <row r="174" spans="1:72" x14ac:dyDescent="0.25">
      <c r="A174" s="935" t="s">
        <v>479</v>
      </c>
      <c r="B174" s="935">
        <v>31.32</v>
      </c>
      <c r="C174" s="935">
        <v>33.729999999999997</v>
      </c>
      <c r="D174" s="935">
        <v>32.79</v>
      </c>
      <c r="E174" s="935">
        <v>31.2</v>
      </c>
      <c r="F174" s="935">
        <v>28.83</v>
      </c>
      <c r="G174" s="935">
        <v>31.39</v>
      </c>
      <c r="H174" s="935">
        <v>32.01</v>
      </c>
      <c r="I174" s="935">
        <v>31.85</v>
      </c>
      <c r="J174" s="935">
        <v>32.08</v>
      </c>
      <c r="K174" s="935">
        <v>32.909999999999997</v>
      </c>
      <c r="L174" s="935">
        <v>33.549999999999997</v>
      </c>
      <c r="M174" s="935">
        <v>33.97</v>
      </c>
      <c r="N174" s="935">
        <v>34.26</v>
      </c>
      <c r="O174" s="935">
        <v>34.89</v>
      </c>
      <c r="P174" s="935">
        <v>35.61</v>
      </c>
      <c r="Q174" s="935">
        <v>36.26</v>
      </c>
      <c r="R174" s="935">
        <v>37.11</v>
      </c>
      <c r="S174" s="935">
        <v>38.1</v>
      </c>
      <c r="T174" s="935">
        <v>38.86</v>
      </c>
      <c r="U174" s="935">
        <v>40</v>
      </c>
      <c r="V174" s="935">
        <v>41.47</v>
      </c>
      <c r="W174" s="935">
        <v>43.05</v>
      </c>
      <c r="X174" s="935">
        <v>45.05</v>
      </c>
      <c r="Y174" s="935">
        <v>46.8</v>
      </c>
      <c r="Z174" s="935">
        <v>48.78</v>
      </c>
      <c r="AA174" s="935">
        <v>50.72</v>
      </c>
      <c r="AB174" s="935">
        <v>52.33</v>
      </c>
      <c r="AC174" s="935">
        <v>54.13</v>
      </c>
      <c r="AD174" s="935">
        <v>55.89</v>
      </c>
      <c r="AE174" s="974">
        <v>1.9E-2</v>
      </c>
      <c r="AF174" s="935"/>
      <c r="AG174" s="935"/>
      <c r="AH174" s="935"/>
      <c r="AI174" s="935"/>
      <c r="AJ174" s="935"/>
      <c r="AK174" s="935"/>
      <c r="AL174" s="935"/>
      <c r="AM174" s="935"/>
      <c r="AN174" s="935"/>
      <c r="AO174" s="935"/>
      <c r="AP174" s="935"/>
      <c r="AQ174" s="935"/>
      <c r="AR174" s="935"/>
      <c r="AS174" s="935"/>
      <c r="AT174" s="935"/>
      <c r="AU174" s="935"/>
      <c r="AV174" s="935"/>
      <c r="AW174" s="935"/>
      <c r="AX174" s="935"/>
      <c r="AY174" s="935"/>
      <c r="AZ174" s="935"/>
      <c r="BA174" s="935"/>
      <c r="BB174" s="935"/>
      <c r="BC174" s="935"/>
      <c r="BD174" s="935"/>
      <c r="BE174" s="935"/>
      <c r="BF174" s="935"/>
      <c r="BG174" s="935"/>
      <c r="BH174" s="935"/>
      <c r="BI174" s="935"/>
      <c r="BJ174" s="935"/>
      <c r="BK174" s="935"/>
      <c r="BL174" s="935"/>
      <c r="BM174" s="935"/>
      <c r="BN174" s="935"/>
      <c r="BO174" s="935"/>
      <c r="BP174" s="935"/>
      <c r="BQ174" s="935"/>
      <c r="BR174" s="935"/>
      <c r="BS174" s="935"/>
      <c r="BT174" s="935"/>
    </row>
    <row r="175" spans="1:72" x14ac:dyDescent="0.25">
      <c r="A175" s="935"/>
      <c r="B175" s="935"/>
      <c r="C175" s="935"/>
      <c r="D175" s="935"/>
      <c r="E175" s="935"/>
      <c r="F175" s="935"/>
      <c r="G175" s="935"/>
      <c r="H175" s="935"/>
      <c r="I175" s="935"/>
      <c r="J175" s="935"/>
      <c r="K175" s="935"/>
      <c r="L175" s="935"/>
      <c r="M175" s="935"/>
      <c r="N175" s="935"/>
      <c r="O175" s="935"/>
      <c r="P175" s="935"/>
      <c r="Q175" s="935"/>
      <c r="R175" s="935"/>
      <c r="S175" s="935"/>
      <c r="T175" s="935"/>
      <c r="U175" s="935"/>
      <c r="V175" s="935"/>
      <c r="W175" s="935"/>
      <c r="X175" s="935"/>
      <c r="Y175" s="935"/>
      <c r="Z175" s="935"/>
      <c r="AA175" s="935"/>
      <c r="AB175" s="935"/>
      <c r="AC175" s="935"/>
      <c r="AD175" s="935"/>
      <c r="AE175" s="935"/>
      <c r="AF175" s="935"/>
      <c r="AG175" s="935"/>
      <c r="AH175" s="935"/>
      <c r="AI175" s="935"/>
      <c r="AJ175" s="935"/>
      <c r="AK175" s="935"/>
      <c r="AL175" s="935"/>
      <c r="AM175" s="935"/>
      <c r="AN175" s="935"/>
      <c r="AO175" s="935"/>
      <c r="AP175" s="935"/>
      <c r="AQ175" s="935"/>
      <c r="AR175" s="935"/>
      <c r="AS175" s="935"/>
      <c r="AT175" s="935"/>
      <c r="AU175" s="935"/>
      <c r="AV175" s="935"/>
      <c r="AW175" s="935"/>
      <c r="AX175" s="935"/>
      <c r="AY175" s="935"/>
      <c r="AZ175" s="935"/>
      <c r="BA175" s="935"/>
      <c r="BB175" s="935"/>
      <c r="BC175" s="935"/>
      <c r="BD175" s="935"/>
      <c r="BE175" s="935"/>
      <c r="BF175" s="935"/>
      <c r="BG175" s="935"/>
      <c r="BH175" s="935"/>
      <c r="BI175" s="935"/>
      <c r="BJ175" s="935"/>
      <c r="BK175" s="935"/>
      <c r="BL175" s="935"/>
      <c r="BM175" s="935"/>
      <c r="BN175" s="935"/>
      <c r="BO175" s="935"/>
      <c r="BP175" s="935"/>
      <c r="BQ175" s="935"/>
      <c r="BR175" s="935"/>
      <c r="BS175" s="935"/>
      <c r="BT175" s="935"/>
    </row>
    <row r="176" spans="1:72" x14ac:dyDescent="0.25">
      <c r="A176" s="935" t="s">
        <v>623</v>
      </c>
      <c r="B176" s="935"/>
      <c r="C176" s="935"/>
      <c r="D176" s="935"/>
      <c r="E176" s="935"/>
      <c r="F176" s="935"/>
      <c r="G176" s="935"/>
      <c r="H176" s="935"/>
      <c r="I176" s="935"/>
      <c r="J176" s="935"/>
      <c r="K176" s="935"/>
      <c r="L176" s="935"/>
      <c r="M176" s="935"/>
      <c r="N176" s="935"/>
      <c r="O176" s="935"/>
      <c r="P176" s="935"/>
      <c r="Q176" s="935"/>
      <c r="R176" s="935"/>
      <c r="S176" s="935"/>
      <c r="T176" s="935"/>
      <c r="U176" s="935"/>
      <c r="V176" s="935"/>
      <c r="W176" s="935"/>
      <c r="X176" s="935"/>
      <c r="Y176" s="935"/>
      <c r="Z176" s="935"/>
      <c r="AA176" s="935"/>
      <c r="AB176" s="935"/>
      <c r="AC176" s="935"/>
      <c r="AD176" s="935"/>
      <c r="AE176" s="935"/>
      <c r="AF176" s="935"/>
      <c r="AG176" s="935"/>
      <c r="AH176" s="935"/>
      <c r="AI176" s="935"/>
      <c r="AJ176" s="935"/>
      <c r="AK176" s="935"/>
      <c r="AL176" s="935"/>
      <c r="AM176" s="935"/>
      <c r="AN176" s="935"/>
      <c r="AO176" s="935"/>
      <c r="AP176" s="935"/>
      <c r="AQ176" s="935"/>
      <c r="AR176" s="935"/>
      <c r="AS176" s="935"/>
      <c r="AT176" s="935"/>
      <c r="AU176" s="935"/>
      <c r="AV176" s="935"/>
      <c r="AW176" s="935"/>
      <c r="AX176" s="935"/>
      <c r="AY176" s="935"/>
      <c r="AZ176" s="935"/>
      <c r="BA176" s="935"/>
      <c r="BB176" s="935"/>
      <c r="BC176" s="935"/>
      <c r="BD176" s="935"/>
      <c r="BE176" s="935"/>
      <c r="BF176" s="935"/>
      <c r="BG176" s="935"/>
      <c r="BH176" s="935"/>
      <c r="BI176" s="935"/>
      <c r="BJ176" s="935"/>
      <c r="BK176" s="935"/>
      <c r="BL176" s="935"/>
      <c r="BM176" s="935"/>
      <c r="BN176" s="935"/>
      <c r="BO176" s="935"/>
      <c r="BP176" s="935"/>
      <c r="BQ176" s="935"/>
      <c r="BR176" s="935"/>
      <c r="BS176" s="935"/>
      <c r="BT176" s="935"/>
    </row>
    <row r="177" spans="1:72" x14ac:dyDescent="0.25">
      <c r="A177" s="935" t="s">
        <v>610</v>
      </c>
      <c r="B177" s="935">
        <v>15.41</v>
      </c>
      <c r="C177" s="935">
        <v>19.37</v>
      </c>
      <c r="D177" s="935">
        <v>14.46</v>
      </c>
      <c r="E177" s="935">
        <v>14.33</v>
      </c>
      <c r="F177" s="935">
        <v>14.68</v>
      </c>
      <c r="G177" s="935">
        <v>16.09</v>
      </c>
      <c r="H177" s="935">
        <v>17.46</v>
      </c>
      <c r="I177" s="935">
        <v>18.510000000000002</v>
      </c>
      <c r="J177" s="935">
        <v>19.350000000000001</v>
      </c>
      <c r="K177" s="935">
        <v>20.67</v>
      </c>
      <c r="L177" s="935">
        <v>21.81</v>
      </c>
      <c r="M177" s="935">
        <v>22.96</v>
      </c>
      <c r="N177" s="935">
        <v>23.88</v>
      </c>
      <c r="O177" s="935">
        <v>24.75</v>
      </c>
      <c r="P177" s="935">
        <v>25.46</v>
      </c>
      <c r="Q177" s="935">
        <v>26.24</v>
      </c>
      <c r="R177" s="935">
        <v>27.22</v>
      </c>
      <c r="S177" s="935">
        <v>28.03</v>
      </c>
      <c r="T177" s="935">
        <v>28.98</v>
      </c>
      <c r="U177" s="935">
        <v>29.93</v>
      </c>
      <c r="V177" s="935">
        <v>30.88</v>
      </c>
      <c r="W177" s="935">
        <v>32</v>
      </c>
      <c r="X177" s="935">
        <v>33.28</v>
      </c>
      <c r="Y177" s="935">
        <v>34.28</v>
      </c>
      <c r="Z177" s="935">
        <v>35.71</v>
      </c>
      <c r="AA177" s="935">
        <v>37.130000000000003</v>
      </c>
      <c r="AB177" s="935">
        <v>38.46</v>
      </c>
      <c r="AC177" s="935">
        <v>39.950000000000003</v>
      </c>
      <c r="AD177" s="935">
        <v>41.52</v>
      </c>
      <c r="AE177" s="974">
        <v>2.9000000000000001E-2</v>
      </c>
      <c r="AF177" s="935"/>
      <c r="AG177" s="935"/>
      <c r="AH177" s="935"/>
      <c r="AI177" s="935"/>
      <c r="AJ177" s="935"/>
      <c r="AK177" s="935"/>
      <c r="AL177" s="935"/>
      <c r="AM177" s="935"/>
      <c r="AN177" s="935"/>
      <c r="AO177" s="935"/>
      <c r="AP177" s="935"/>
      <c r="AQ177" s="935"/>
      <c r="AR177" s="935"/>
      <c r="AS177" s="935"/>
      <c r="AT177" s="935"/>
      <c r="AU177" s="935"/>
      <c r="AV177" s="935"/>
      <c r="AW177" s="935"/>
      <c r="AX177" s="935"/>
      <c r="AY177" s="935"/>
      <c r="AZ177" s="935"/>
      <c r="BA177" s="935"/>
      <c r="BB177" s="935"/>
      <c r="BC177" s="935"/>
      <c r="BD177" s="935"/>
      <c r="BE177" s="935"/>
      <c r="BF177" s="935"/>
      <c r="BG177" s="935"/>
      <c r="BH177" s="935"/>
      <c r="BI177" s="935"/>
      <c r="BJ177" s="935"/>
      <c r="BK177" s="935"/>
      <c r="BL177" s="935"/>
      <c r="BM177" s="935"/>
      <c r="BN177" s="935"/>
      <c r="BO177" s="935"/>
      <c r="BP177" s="935"/>
      <c r="BQ177" s="935"/>
      <c r="BR177" s="935"/>
      <c r="BS177" s="935"/>
      <c r="BT177" s="935"/>
    </row>
    <row r="178" spans="1:72" x14ac:dyDescent="0.25">
      <c r="A178" s="935" t="s">
        <v>611</v>
      </c>
      <c r="B178" s="935">
        <v>8.84</v>
      </c>
      <c r="C178" s="935">
        <v>14.56</v>
      </c>
      <c r="D178" s="935">
        <v>8.92</v>
      </c>
      <c r="E178" s="935">
        <v>12.37</v>
      </c>
      <c r="F178" s="935">
        <v>12.7</v>
      </c>
      <c r="G178" s="935">
        <v>14.13</v>
      </c>
      <c r="H178" s="935">
        <v>15.48</v>
      </c>
      <c r="I178" s="935">
        <v>16.55</v>
      </c>
      <c r="J178" s="935">
        <v>17.3</v>
      </c>
      <c r="K178" s="935">
        <v>18.07</v>
      </c>
      <c r="L178" s="935">
        <v>19.010000000000002</v>
      </c>
      <c r="M178" s="935">
        <v>19.88</v>
      </c>
      <c r="N178" s="935">
        <v>20.54</v>
      </c>
      <c r="O178" s="935">
        <v>21.05</v>
      </c>
      <c r="P178" s="935">
        <v>21.8</v>
      </c>
      <c r="Q178" s="935">
        <v>22.48</v>
      </c>
      <c r="R178" s="935">
        <v>23.26</v>
      </c>
      <c r="S178" s="935">
        <v>24.05</v>
      </c>
      <c r="T178" s="935">
        <v>24.83</v>
      </c>
      <c r="U178" s="935">
        <v>25.46</v>
      </c>
      <c r="V178" s="935">
        <v>26.42</v>
      </c>
      <c r="W178" s="935">
        <v>27.37</v>
      </c>
      <c r="X178" s="935">
        <v>28.4</v>
      </c>
      <c r="Y178" s="935">
        <v>29.5</v>
      </c>
      <c r="Z178" s="935">
        <v>30.7</v>
      </c>
      <c r="AA178" s="935">
        <v>31.85</v>
      </c>
      <c r="AB178" s="935">
        <v>32.92</v>
      </c>
      <c r="AC178" s="935">
        <v>34.19</v>
      </c>
      <c r="AD178" s="935">
        <v>35.49</v>
      </c>
      <c r="AE178" s="974">
        <v>3.4000000000000002E-2</v>
      </c>
      <c r="AF178" s="935"/>
      <c r="AG178" s="935"/>
      <c r="AH178" s="935"/>
      <c r="AI178" s="935"/>
      <c r="AJ178" s="935"/>
      <c r="AK178" s="935"/>
      <c r="AL178" s="935"/>
      <c r="AM178" s="935"/>
      <c r="AN178" s="935"/>
      <c r="AO178" s="935"/>
      <c r="AP178" s="935"/>
      <c r="AQ178" s="935"/>
      <c r="AR178" s="935"/>
      <c r="AS178" s="935"/>
      <c r="AT178" s="935"/>
      <c r="AU178" s="935"/>
      <c r="AV178" s="935"/>
      <c r="AW178" s="935"/>
      <c r="AX178" s="935"/>
      <c r="AY178" s="935"/>
      <c r="AZ178" s="935"/>
      <c r="BA178" s="935"/>
      <c r="BB178" s="935"/>
      <c r="BC178" s="935"/>
      <c r="BD178" s="935"/>
      <c r="BE178" s="935"/>
      <c r="BF178" s="935"/>
      <c r="BG178" s="935"/>
      <c r="BH178" s="935"/>
      <c r="BI178" s="935"/>
      <c r="BJ178" s="935"/>
      <c r="BK178" s="935"/>
      <c r="BL178" s="935"/>
      <c r="BM178" s="935"/>
      <c r="BN178" s="935"/>
      <c r="BO178" s="935"/>
      <c r="BP178" s="935"/>
      <c r="BQ178" s="935"/>
      <c r="BR178" s="935"/>
      <c r="BS178" s="935"/>
      <c r="BT178" s="935"/>
    </row>
    <row r="179" spans="1:72" x14ac:dyDescent="0.25">
      <c r="A179" s="935" t="s">
        <v>510</v>
      </c>
      <c r="B179" s="935">
        <v>7.1</v>
      </c>
      <c r="C179" s="935">
        <v>9.09</v>
      </c>
      <c r="D179" s="935">
        <v>4.2</v>
      </c>
      <c r="E179" s="935">
        <v>4.99</v>
      </c>
      <c r="F179" s="935">
        <v>6.07</v>
      </c>
      <c r="G179" s="935">
        <v>6.53</v>
      </c>
      <c r="H179" s="935">
        <v>6.4</v>
      </c>
      <c r="I179" s="935">
        <v>6.47</v>
      </c>
      <c r="J179" s="935">
        <v>6.77</v>
      </c>
      <c r="K179" s="935">
        <v>6.99</v>
      </c>
      <c r="L179" s="935">
        <v>7.13</v>
      </c>
      <c r="M179" s="935">
        <v>7.32</v>
      </c>
      <c r="N179" s="935">
        <v>7.53</v>
      </c>
      <c r="O179" s="935">
        <v>7.85</v>
      </c>
      <c r="P179" s="935">
        <v>8.1300000000000008</v>
      </c>
      <c r="Q179" s="935">
        <v>8.5399999999999991</v>
      </c>
      <c r="R179" s="935">
        <v>8.7799999999999994</v>
      </c>
      <c r="S179" s="935">
        <v>8.91</v>
      </c>
      <c r="T179" s="935">
        <v>9.17</v>
      </c>
      <c r="U179" s="935">
        <v>9.57</v>
      </c>
      <c r="V179" s="935">
        <v>9.9700000000000006</v>
      </c>
      <c r="W179" s="935">
        <v>10.51</v>
      </c>
      <c r="X179" s="935">
        <v>11.09</v>
      </c>
      <c r="Y179" s="935">
        <v>11.66</v>
      </c>
      <c r="Z179" s="935">
        <v>12.38</v>
      </c>
      <c r="AA179" s="935">
        <v>12.84</v>
      </c>
      <c r="AB179" s="935">
        <v>13.16</v>
      </c>
      <c r="AC179" s="935">
        <v>13.75</v>
      </c>
      <c r="AD179" s="935">
        <v>14.22</v>
      </c>
      <c r="AE179" s="974">
        <v>1.7000000000000001E-2</v>
      </c>
      <c r="AF179" s="935"/>
      <c r="AG179" s="935"/>
      <c r="AH179" s="935"/>
      <c r="AI179" s="935"/>
      <c r="AJ179" s="935"/>
      <c r="AK179" s="935"/>
      <c r="AL179" s="935"/>
      <c r="AM179" s="935"/>
      <c r="AN179" s="935"/>
      <c r="AO179" s="935"/>
      <c r="AP179" s="935"/>
      <c r="AQ179" s="935"/>
      <c r="AR179" s="935"/>
      <c r="AS179" s="935"/>
      <c r="AT179" s="935"/>
      <c r="AU179" s="935"/>
      <c r="AV179" s="935"/>
      <c r="AW179" s="935"/>
      <c r="AX179" s="935"/>
      <c r="AY179" s="935"/>
      <c r="AZ179" s="935"/>
      <c r="BA179" s="935"/>
      <c r="BB179" s="935"/>
      <c r="BC179" s="935"/>
      <c r="BD179" s="935"/>
      <c r="BE179" s="935"/>
      <c r="BF179" s="935"/>
      <c r="BG179" s="935"/>
      <c r="BH179" s="935"/>
      <c r="BI179" s="935"/>
      <c r="BJ179" s="935"/>
      <c r="BK179" s="935"/>
      <c r="BL179" s="935"/>
      <c r="BM179" s="935"/>
      <c r="BN179" s="935"/>
      <c r="BO179" s="935"/>
      <c r="BP179" s="935"/>
      <c r="BQ179" s="935"/>
      <c r="BR179" s="935"/>
      <c r="BS179" s="935"/>
      <c r="BT179" s="935"/>
    </row>
    <row r="180" spans="1:72" x14ac:dyDescent="0.25">
      <c r="A180" s="935" t="s">
        <v>624</v>
      </c>
      <c r="B180" s="935">
        <v>1.76</v>
      </c>
      <c r="C180" s="935">
        <v>2.0499999999999998</v>
      </c>
      <c r="D180" s="935">
        <v>2.1800000000000002</v>
      </c>
      <c r="E180" s="935">
        <v>2.0499999999999998</v>
      </c>
      <c r="F180" s="935">
        <v>2.0699999999999998</v>
      </c>
      <c r="G180" s="935">
        <v>2.1</v>
      </c>
      <c r="H180" s="935">
        <v>2.15</v>
      </c>
      <c r="I180" s="935">
        <v>2.19</v>
      </c>
      <c r="J180" s="935">
        <v>2.2400000000000002</v>
      </c>
      <c r="K180" s="935">
        <v>2.2599999999999998</v>
      </c>
      <c r="L180" s="935">
        <v>2.31</v>
      </c>
      <c r="M180" s="935">
        <v>2.34</v>
      </c>
      <c r="N180" s="935">
        <v>2.38</v>
      </c>
      <c r="O180" s="935">
        <v>2.42</v>
      </c>
      <c r="P180" s="935">
        <v>2.4700000000000002</v>
      </c>
      <c r="Q180" s="935">
        <v>2.54</v>
      </c>
      <c r="R180" s="935">
        <v>2.59</v>
      </c>
      <c r="S180" s="935">
        <v>2.65</v>
      </c>
      <c r="T180" s="935">
        <v>2.69</v>
      </c>
      <c r="U180" s="935">
        <v>2.77</v>
      </c>
      <c r="V180" s="935">
        <v>2.82</v>
      </c>
      <c r="W180" s="935">
        <v>2.9</v>
      </c>
      <c r="X180" s="935">
        <v>2.98</v>
      </c>
      <c r="Y180" s="935">
        <v>3.06</v>
      </c>
      <c r="Z180" s="935">
        <v>3.15</v>
      </c>
      <c r="AA180" s="935">
        <v>3.23</v>
      </c>
      <c r="AB180" s="935">
        <v>3.32</v>
      </c>
      <c r="AC180" s="935">
        <v>3.41</v>
      </c>
      <c r="AD180" s="935">
        <v>3.51</v>
      </c>
      <c r="AE180" s="974">
        <v>0.02</v>
      </c>
      <c r="AF180" s="935"/>
      <c r="AG180" s="935"/>
      <c r="AH180" s="935"/>
      <c r="AI180" s="935"/>
      <c r="AJ180" s="935"/>
      <c r="AK180" s="935"/>
      <c r="AL180" s="935"/>
      <c r="AM180" s="935"/>
      <c r="AN180" s="935"/>
      <c r="AO180" s="935"/>
      <c r="AP180" s="935"/>
      <c r="AQ180" s="935"/>
      <c r="AR180" s="935"/>
      <c r="AS180" s="935"/>
      <c r="AT180" s="935"/>
      <c r="AU180" s="935"/>
      <c r="AV180" s="935"/>
      <c r="AW180" s="935"/>
      <c r="AX180" s="935"/>
      <c r="AY180" s="935"/>
      <c r="AZ180" s="935"/>
      <c r="BA180" s="935"/>
      <c r="BB180" s="935"/>
      <c r="BC180" s="935"/>
      <c r="BD180" s="935"/>
      <c r="BE180" s="935"/>
      <c r="BF180" s="935"/>
      <c r="BG180" s="935"/>
      <c r="BH180" s="935"/>
      <c r="BI180" s="935"/>
      <c r="BJ180" s="935"/>
      <c r="BK180" s="935"/>
      <c r="BL180" s="935"/>
      <c r="BM180" s="935"/>
      <c r="BN180" s="935"/>
      <c r="BO180" s="935"/>
      <c r="BP180" s="935"/>
      <c r="BQ180" s="935"/>
      <c r="BR180" s="935"/>
      <c r="BS180" s="935"/>
      <c r="BT180" s="935"/>
    </row>
    <row r="181" spans="1:72" x14ac:dyDescent="0.25">
      <c r="A181" s="935"/>
      <c r="B181" s="935"/>
      <c r="C181" s="935"/>
      <c r="D181" s="935"/>
      <c r="E181" s="935"/>
      <c r="F181" s="935"/>
      <c r="G181" s="935"/>
      <c r="H181" s="935"/>
      <c r="I181" s="935"/>
      <c r="J181" s="935"/>
      <c r="K181" s="935"/>
      <c r="L181" s="935"/>
      <c r="M181" s="935"/>
      <c r="N181" s="935"/>
      <c r="O181" s="935"/>
      <c r="P181" s="935"/>
      <c r="Q181" s="935"/>
      <c r="R181" s="935"/>
      <c r="S181" s="935"/>
      <c r="T181" s="935"/>
      <c r="U181" s="935"/>
      <c r="V181" s="935"/>
      <c r="W181" s="935"/>
      <c r="X181" s="935"/>
      <c r="Y181" s="935"/>
      <c r="Z181" s="935"/>
      <c r="AA181" s="935"/>
      <c r="AB181" s="935"/>
      <c r="AC181" s="935"/>
      <c r="AD181" s="935"/>
      <c r="AE181" s="935"/>
      <c r="AF181" s="935"/>
      <c r="AG181" s="935"/>
      <c r="AH181" s="935"/>
      <c r="AI181" s="935"/>
      <c r="AJ181" s="935"/>
      <c r="AK181" s="935"/>
      <c r="AL181" s="935"/>
      <c r="AM181" s="935"/>
      <c r="AN181" s="935"/>
      <c r="AO181" s="935"/>
      <c r="AP181" s="935"/>
      <c r="AQ181" s="935"/>
      <c r="AR181" s="935"/>
      <c r="AS181" s="935"/>
      <c r="AT181" s="935"/>
      <c r="AU181" s="935"/>
      <c r="AV181" s="935"/>
      <c r="AW181" s="935"/>
      <c r="AX181" s="935"/>
      <c r="AY181" s="935"/>
      <c r="AZ181" s="935"/>
      <c r="BA181" s="935"/>
      <c r="BB181" s="935"/>
      <c r="BC181" s="935"/>
      <c r="BD181" s="935"/>
      <c r="BE181" s="935"/>
      <c r="BF181" s="935"/>
      <c r="BG181" s="935"/>
      <c r="BH181" s="935"/>
      <c r="BI181" s="935"/>
      <c r="BJ181" s="935"/>
      <c r="BK181" s="935"/>
      <c r="BL181" s="935"/>
      <c r="BM181" s="935"/>
      <c r="BN181" s="935"/>
      <c r="BO181" s="935"/>
      <c r="BP181" s="935"/>
      <c r="BQ181" s="935"/>
      <c r="BR181" s="935"/>
      <c r="BS181" s="935"/>
      <c r="BT181" s="935"/>
    </row>
    <row r="182" spans="1:72" x14ac:dyDescent="0.25">
      <c r="A182" s="935" t="s">
        <v>625</v>
      </c>
      <c r="B182" s="935"/>
      <c r="C182" s="935"/>
      <c r="D182" s="935"/>
      <c r="E182" s="935"/>
      <c r="F182" s="935"/>
      <c r="G182" s="935"/>
      <c r="H182" s="935"/>
      <c r="I182" s="935"/>
      <c r="J182" s="935"/>
      <c r="K182" s="935"/>
      <c r="L182" s="935"/>
      <c r="M182" s="935"/>
      <c r="N182" s="935"/>
      <c r="O182" s="935"/>
      <c r="P182" s="935"/>
      <c r="Q182" s="935"/>
      <c r="R182" s="935"/>
      <c r="S182" s="935"/>
      <c r="T182" s="935"/>
      <c r="U182" s="935"/>
      <c r="V182" s="935"/>
      <c r="W182" s="935"/>
      <c r="X182" s="935"/>
      <c r="Y182" s="935"/>
      <c r="Z182" s="935"/>
      <c r="AA182" s="935"/>
      <c r="AB182" s="935"/>
      <c r="AC182" s="935"/>
      <c r="AD182" s="935"/>
      <c r="AE182" s="935"/>
      <c r="AF182" s="935"/>
      <c r="AG182" s="935"/>
      <c r="AH182" s="935"/>
      <c r="AI182" s="935"/>
      <c r="AJ182" s="935"/>
      <c r="AK182" s="935"/>
      <c r="AL182" s="935"/>
      <c r="AM182" s="935"/>
      <c r="AN182" s="935"/>
      <c r="AO182" s="935"/>
      <c r="AP182" s="935"/>
      <c r="AQ182" s="935"/>
      <c r="AR182" s="935"/>
      <c r="AS182" s="935"/>
      <c r="AT182" s="935"/>
      <c r="AU182" s="935"/>
      <c r="AV182" s="935"/>
      <c r="AW182" s="935"/>
      <c r="AX182" s="935"/>
      <c r="AY182" s="935"/>
      <c r="AZ182" s="935"/>
      <c r="BA182" s="935"/>
      <c r="BB182" s="935"/>
      <c r="BC182" s="935"/>
      <c r="BD182" s="935"/>
      <c r="BE182" s="935"/>
      <c r="BF182" s="935"/>
      <c r="BG182" s="935"/>
      <c r="BH182" s="935"/>
      <c r="BI182" s="935"/>
      <c r="BJ182" s="935"/>
      <c r="BK182" s="935"/>
      <c r="BL182" s="935"/>
      <c r="BM182" s="935"/>
      <c r="BN182" s="935"/>
      <c r="BO182" s="935"/>
      <c r="BP182" s="935"/>
      <c r="BQ182" s="935"/>
      <c r="BR182" s="935"/>
      <c r="BS182" s="935"/>
      <c r="BT182" s="935"/>
    </row>
    <row r="183" spans="1:72" x14ac:dyDescent="0.25">
      <c r="A183" s="935" t="s">
        <v>609</v>
      </c>
      <c r="B183" s="935">
        <v>18.53</v>
      </c>
      <c r="C183" s="935">
        <v>20.190000000000001</v>
      </c>
      <c r="D183" s="935">
        <v>18.64</v>
      </c>
      <c r="E183" s="935">
        <v>17.36</v>
      </c>
      <c r="F183" s="935">
        <v>17.61</v>
      </c>
      <c r="G183" s="935">
        <v>18.920000000000002</v>
      </c>
      <c r="H183" s="935">
        <v>20.43</v>
      </c>
      <c r="I183" s="935">
        <v>21.72</v>
      </c>
      <c r="J183" s="935">
        <v>22.62</v>
      </c>
      <c r="K183" s="935">
        <v>23.64</v>
      </c>
      <c r="L183" s="935">
        <v>24.56</v>
      </c>
      <c r="M183" s="935">
        <v>25.55</v>
      </c>
      <c r="N183" s="935">
        <v>26.28</v>
      </c>
      <c r="O183" s="935">
        <v>27.06</v>
      </c>
      <c r="P183" s="935">
        <v>27.91</v>
      </c>
      <c r="Q183" s="935">
        <v>28.78</v>
      </c>
      <c r="R183" s="935">
        <v>29.75</v>
      </c>
      <c r="S183" s="935">
        <v>30.7</v>
      </c>
      <c r="T183" s="935">
        <v>31.68</v>
      </c>
      <c r="U183" s="935">
        <v>32.54</v>
      </c>
      <c r="V183" s="935">
        <v>33.6</v>
      </c>
      <c r="W183" s="935">
        <v>34.69</v>
      </c>
      <c r="X183" s="935">
        <v>35.950000000000003</v>
      </c>
      <c r="Y183" s="935">
        <v>37.049999999999997</v>
      </c>
      <c r="Z183" s="935">
        <v>38.44</v>
      </c>
      <c r="AA183" s="935">
        <v>39.83</v>
      </c>
      <c r="AB183" s="935">
        <v>41.29</v>
      </c>
      <c r="AC183" s="935">
        <v>42.77</v>
      </c>
      <c r="AD183" s="935">
        <v>44.32</v>
      </c>
      <c r="AE183" s="974">
        <v>0.03</v>
      </c>
      <c r="AF183" s="935"/>
      <c r="AG183" s="935"/>
      <c r="AH183" s="935"/>
      <c r="AI183" s="935"/>
      <c r="AJ183" s="935"/>
      <c r="AK183" s="935"/>
      <c r="AL183" s="935"/>
      <c r="AM183" s="935"/>
      <c r="AN183" s="935"/>
      <c r="AO183" s="935"/>
      <c r="AP183" s="935"/>
      <c r="AQ183" s="935"/>
      <c r="AR183" s="935"/>
      <c r="AS183" s="935"/>
      <c r="AT183" s="935"/>
      <c r="AU183" s="935"/>
      <c r="AV183" s="935"/>
      <c r="AW183" s="935"/>
      <c r="AX183" s="935"/>
      <c r="AY183" s="935"/>
      <c r="AZ183" s="935"/>
      <c r="BA183" s="935"/>
      <c r="BB183" s="935"/>
      <c r="BC183" s="935"/>
      <c r="BD183" s="935"/>
      <c r="BE183" s="935"/>
      <c r="BF183" s="935"/>
      <c r="BG183" s="935"/>
      <c r="BH183" s="935"/>
      <c r="BI183" s="935"/>
      <c r="BJ183" s="935"/>
      <c r="BK183" s="935"/>
      <c r="BL183" s="935"/>
      <c r="BM183" s="935"/>
      <c r="BN183" s="935"/>
      <c r="BO183" s="935"/>
      <c r="BP183" s="935"/>
      <c r="BQ183" s="935"/>
      <c r="BR183" s="935"/>
      <c r="BS183" s="935"/>
      <c r="BT183" s="935"/>
    </row>
    <row r="184" spans="1:72" x14ac:dyDescent="0.25">
      <c r="A184" s="935" t="s">
        <v>618</v>
      </c>
      <c r="B184" s="935">
        <v>26.83</v>
      </c>
      <c r="C184" s="935">
        <v>26.93</v>
      </c>
      <c r="D184" s="935">
        <v>23.64</v>
      </c>
      <c r="E184" s="935">
        <v>21.26</v>
      </c>
      <c r="F184" s="935">
        <v>21.89</v>
      </c>
      <c r="G184" s="935">
        <v>23.43</v>
      </c>
      <c r="H184" s="935">
        <v>26.07</v>
      </c>
      <c r="I184" s="935">
        <v>27.64</v>
      </c>
      <c r="J184" s="935">
        <v>28.47</v>
      </c>
      <c r="K184" s="935">
        <v>28.45</v>
      </c>
      <c r="L184" s="935">
        <v>29.92</v>
      </c>
      <c r="M184" s="935">
        <v>31.23</v>
      </c>
      <c r="N184" s="935">
        <v>31.97</v>
      </c>
      <c r="O184" s="935">
        <v>32.94</v>
      </c>
      <c r="P184" s="935">
        <v>34.090000000000003</v>
      </c>
      <c r="Q184" s="935">
        <v>35.479999999999997</v>
      </c>
      <c r="R184" s="935">
        <v>36.880000000000003</v>
      </c>
      <c r="S184" s="935">
        <v>37.979999999999997</v>
      </c>
      <c r="T184" s="935">
        <v>39.17</v>
      </c>
      <c r="U184" s="935">
        <v>40.479999999999997</v>
      </c>
      <c r="V184" s="935">
        <v>41.72</v>
      </c>
      <c r="W184" s="935">
        <v>43.4</v>
      </c>
      <c r="X184" s="935">
        <v>44.96</v>
      </c>
      <c r="Y184" s="935">
        <v>46.25</v>
      </c>
      <c r="Z184" s="935">
        <v>47.62</v>
      </c>
      <c r="AA184" s="935">
        <v>49.36</v>
      </c>
      <c r="AB184" s="935">
        <v>50.75</v>
      </c>
      <c r="AC184" s="935">
        <v>52.29</v>
      </c>
      <c r="AD184" s="935">
        <v>54.17</v>
      </c>
      <c r="AE184" s="974">
        <v>2.5999999999999999E-2</v>
      </c>
      <c r="AF184" s="935"/>
      <c r="AG184" s="935"/>
      <c r="AH184" s="935"/>
      <c r="AI184" s="935"/>
      <c r="AJ184" s="935"/>
      <c r="AK184" s="935"/>
      <c r="AL184" s="935"/>
      <c r="AM184" s="935"/>
      <c r="AN184" s="935"/>
      <c r="AO184" s="935"/>
      <c r="AP184" s="935"/>
      <c r="AQ184" s="935"/>
      <c r="AR184" s="935"/>
      <c r="AS184" s="935"/>
      <c r="AT184" s="935"/>
      <c r="AU184" s="935"/>
      <c r="AV184" s="935"/>
      <c r="AW184" s="935"/>
      <c r="AX184" s="935"/>
      <c r="AY184" s="935"/>
      <c r="AZ184" s="935"/>
      <c r="BA184" s="935"/>
      <c r="BB184" s="935"/>
      <c r="BC184" s="935"/>
      <c r="BD184" s="935"/>
      <c r="BE184" s="935"/>
      <c r="BF184" s="935"/>
      <c r="BG184" s="935"/>
      <c r="BH184" s="935"/>
      <c r="BI184" s="935"/>
      <c r="BJ184" s="935"/>
      <c r="BK184" s="935"/>
      <c r="BL184" s="935"/>
      <c r="BM184" s="935"/>
      <c r="BN184" s="935"/>
      <c r="BO184" s="935"/>
      <c r="BP184" s="935"/>
      <c r="BQ184" s="935"/>
      <c r="BR184" s="935"/>
      <c r="BS184" s="935"/>
      <c r="BT184" s="935"/>
    </row>
    <row r="185" spans="1:72" x14ac:dyDescent="0.25">
      <c r="A185" s="935" t="s">
        <v>619</v>
      </c>
      <c r="B185" s="935">
        <v>23.03</v>
      </c>
      <c r="C185" s="935">
        <v>26.54</v>
      </c>
      <c r="D185" s="935">
        <v>19.440000000000001</v>
      </c>
      <c r="E185" s="935">
        <v>21.17</v>
      </c>
      <c r="F185" s="935">
        <v>21.79</v>
      </c>
      <c r="G185" s="935">
        <v>23.32</v>
      </c>
      <c r="H185" s="935">
        <v>25.87</v>
      </c>
      <c r="I185" s="935">
        <v>27.33</v>
      </c>
      <c r="J185" s="935">
        <v>28.27</v>
      </c>
      <c r="K185" s="935">
        <v>29.42</v>
      </c>
      <c r="L185" s="935">
        <v>30.58</v>
      </c>
      <c r="M185" s="935">
        <v>31.64</v>
      </c>
      <c r="N185" s="935">
        <v>32.6</v>
      </c>
      <c r="O185" s="935">
        <v>33.71</v>
      </c>
      <c r="P185" s="935">
        <v>34.71</v>
      </c>
      <c r="Q185" s="935">
        <v>35.93</v>
      </c>
      <c r="R185" s="935">
        <v>37.020000000000003</v>
      </c>
      <c r="S185" s="935">
        <v>37.950000000000003</v>
      </c>
      <c r="T185" s="935">
        <v>39.17</v>
      </c>
      <c r="U185" s="935">
        <v>40.43</v>
      </c>
      <c r="V185" s="935">
        <v>41.68</v>
      </c>
      <c r="W185" s="935">
        <v>43.21</v>
      </c>
      <c r="X185" s="935">
        <v>44.69</v>
      </c>
      <c r="Y185" s="935">
        <v>45.9</v>
      </c>
      <c r="Z185" s="935">
        <v>47.46</v>
      </c>
      <c r="AA185" s="935">
        <v>49.15</v>
      </c>
      <c r="AB185" s="935">
        <v>50.65</v>
      </c>
      <c r="AC185" s="935">
        <v>52.35</v>
      </c>
      <c r="AD185" s="935">
        <v>54.32</v>
      </c>
      <c r="AE185" s="974">
        <v>2.7E-2</v>
      </c>
      <c r="AF185" s="935"/>
      <c r="AG185" s="935"/>
      <c r="AH185" s="935"/>
      <c r="AI185" s="935"/>
      <c r="AJ185" s="935"/>
      <c r="AK185" s="935"/>
      <c r="AL185" s="935"/>
      <c r="AM185" s="935"/>
      <c r="AN185" s="935"/>
      <c r="AO185" s="935"/>
      <c r="AP185" s="935"/>
      <c r="AQ185" s="935"/>
      <c r="AR185" s="935"/>
      <c r="AS185" s="935"/>
      <c r="AT185" s="935"/>
      <c r="AU185" s="935"/>
      <c r="AV185" s="935"/>
      <c r="AW185" s="935"/>
      <c r="AX185" s="935"/>
      <c r="AY185" s="935"/>
      <c r="AZ185" s="935"/>
      <c r="BA185" s="935"/>
      <c r="BB185" s="935"/>
      <c r="BC185" s="935"/>
      <c r="BD185" s="935"/>
      <c r="BE185" s="935"/>
      <c r="BF185" s="935"/>
      <c r="BG185" s="935"/>
      <c r="BH185" s="935"/>
      <c r="BI185" s="935"/>
      <c r="BJ185" s="935"/>
      <c r="BK185" s="935"/>
      <c r="BL185" s="935"/>
      <c r="BM185" s="935"/>
      <c r="BN185" s="935"/>
      <c r="BO185" s="935"/>
      <c r="BP185" s="935"/>
      <c r="BQ185" s="935"/>
      <c r="BR185" s="935"/>
      <c r="BS185" s="935"/>
      <c r="BT185" s="935"/>
    </row>
    <row r="186" spans="1:72" x14ac:dyDescent="0.25">
      <c r="A186" s="935" t="s">
        <v>626</v>
      </c>
      <c r="B186" s="935">
        <v>15.42</v>
      </c>
      <c r="C186" s="935">
        <v>22.71</v>
      </c>
      <c r="D186" s="935">
        <v>12.92</v>
      </c>
      <c r="E186" s="935">
        <v>15.23</v>
      </c>
      <c r="F186" s="935">
        <v>15.82</v>
      </c>
      <c r="G186" s="935">
        <v>17.510000000000002</v>
      </c>
      <c r="H186" s="935">
        <v>19.05</v>
      </c>
      <c r="I186" s="935">
        <v>20.23</v>
      </c>
      <c r="J186" s="935">
        <v>21.21</v>
      </c>
      <c r="K186" s="935">
        <v>22.42</v>
      </c>
      <c r="L186" s="935">
        <v>23.58</v>
      </c>
      <c r="M186" s="935">
        <v>24.67</v>
      </c>
      <c r="N186" s="935">
        <v>25.58</v>
      </c>
      <c r="O186" s="935">
        <v>26.51</v>
      </c>
      <c r="P186" s="935">
        <v>27.27</v>
      </c>
      <c r="Q186" s="935">
        <v>28.18</v>
      </c>
      <c r="R186" s="935">
        <v>29.2</v>
      </c>
      <c r="S186" s="935">
        <v>30.07</v>
      </c>
      <c r="T186" s="935">
        <v>31.1</v>
      </c>
      <c r="U186" s="935">
        <v>32.130000000000003</v>
      </c>
      <c r="V186" s="935">
        <v>33.21</v>
      </c>
      <c r="W186" s="935">
        <v>34.54</v>
      </c>
      <c r="X186" s="935">
        <v>35.83</v>
      </c>
      <c r="Y186" s="935">
        <v>36.99</v>
      </c>
      <c r="Z186" s="935">
        <v>38.42</v>
      </c>
      <c r="AA186" s="935">
        <v>39.92</v>
      </c>
      <c r="AB186" s="935">
        <v>41.32</v>
      </c>
      <c r="AC186" s="935">
        <v>42.87</v>
      </c>
      <c r="AD186" s="935">
        <v>44.51</v>
      </c>
      <c r="AE186" s="974">
        <v>2.5000000000000001E-2</v>
      </c>
      <c r="AF186" s="935"/>
      <c r="AG186" s="935"/>
      <c r="AH186" s="935"/>
      <c r="AI186" s="935"/>
      <c r="AJ186" s="935"/>
      <c r="AK186" s="935"/>
      <c r="AL186" s="935"/>
      <c r="AM186" s="935"/>
      <c r="AN186" s="935"/>
      <c r="AO186" s="935"/>
      <c r="AP186" s="935"/>
      <c r="AQ186" s="935"/>
      <c r="AR186" s="935"/>
      <c r="AS186" s="935"/>
      <c r="AT186" s="935"/>
      <c r="AU186" s="935"/>
      <c r="AV186" s="935"/>
      <c r="AW186" s="935"/>
      <c r="AX186" s="935"/>
      <c r="AY186" s="935"/>
      <c r="AZ186" s="935"/>
      <c r="BA186" s="935"/>
      <c r="BB186" s="935"/>
      <c r="BC186" s="935"/>
      <c r="BD186" s="935"/>
      <c r="BE186" s="935"/>
      <c r="BF186" s="935"/>
      <c r="BG186" s="935"/>
      <c r="BH186" s="935"/>
      <c r="BI186" s="935"/>
      <c r="BJ186" s="935"/>
      <c r="BK186" s="935"/>
      <c r="BL186" s="935"/>
      <c r="BM186" s="935"/>
      <c r="BN186" s="935"/>
      <c r="BO186" s="935"/>
      <c r="BP186" s="935"/>
      <c r="BQ186" s="935"/>
      <c r="BR186" s="935"/>
      <c r="BS186" s="935"/>
      <c r="BT186" s="935"/>
    </row>
    <row r="187" spans="1:72" x14ac:dyDescent="0.25">
      <c r="A187" s="935" t="s">
        <v>610</v>
      </c>
      <c r="B187" s="935">
        <v>20.260000000000002</v>
      </c>
      <c r="C187" s="935">
        <v>26.27</v>
      </c>
      <c r="D187" s="935">
        <v>17.73</v>
      </c>
      <c r="E187" s="935">
        <v>18.260000000000002</v>
      </c>
      <c r="F187" s="935">
        <v>18.940000000000001</v>
      </c>
      <c r="G187" s="935">
        <v>20.58</v>
      </c>
      <c r="H187" s="935">
        <v>22.21</v>
      </c>
      <c r="I187" s="935">
        <v>23.39</v>
      </c>
      <c r="J187" s="935">
        <v>24.55</v>
      </c>
      <c r="K187" s="935">
        <v>25.86</v>
      </c>
      <c r="L187" s="935">
        <v>27.09</v>
      </c>
      <c r="M187" s="935">
        <v>28.33</v>
      </c>
      <c r="N187" s="935">
        <v>29.33</v>
      </c>
      <c r="O187" s="935">
        <v>30.3</v>
      </c>
      <c r="P187" s="935">
        <v>31.19</v>
      </c>
      <c r="Q187" s="935">
        <v>32.29</v>
      </c>
      <c r="R187" s="935">
        <v>33.22</v>
      </c>
      <c r="S187" s="935">
        <v>34.04</v>
      </c>
      <c r="T187" s="935">
        <v>35.14</v>
      </c>
      <c r="U187" s="935">
        <v>36.19</v>
      </c>
      <c r="V187" s="935">
        <v>37.31</v>
      </c>
      <c r="W187" s="935">
        <v>38.6</v>
      </c>
      <c r="X187" s="935">
        <v>40.04</v>
      </c>
      <c r="Y187" s="935">
        <v>41.2</v>
      </c>
      <c r="Z187" s="935">
        <v>42.78</v>
      </c>
      <c r="AA187" s="935">
        <v>44.38</v>
      </c>
      <c r="AB187" s="935">
        <v>45.87</v>
      </c>
      <c r="AC187" s="935">
        <v>47.52</v>
      </c>
      <c r="AD187" s="935">
        <v>49.31</v>
      </c>
      <c r="AE187" s="974">
        <v>2.4E-2</v>
      </c>
      <c r="AF187" s="935"/>
      <c r="AG187" s="935"/>
      <c r="AH187" s="935"/>
      <c r="AI187" s="935"/>
      <c r="AJ187" s="935"/>
      <c r="AK187" s="935"/>
      <c r="AL187" s="935"/>
      <c r="AM187" s="935"/>
      <c r="AN187" s="935"/>
      <c r="AO187" s="935"/>
      <c r="AP187" s="935"/>
      <c r="AQ187" s="935"/>
      <c r="AR187" s="935"/>
      <c r="AS187" s="935"/>
      <c r="AT187" s="935"/>
      <c r="AU187" s="935"/>
      <c r="AV187" s="935"/>
      <c r="AW187" s="935"/>
      <c r="AX187" s="935"/>
      <c r="AY187" s="935"/>
      <c r="AZ187" s="935"/>
      <c r="BA187" s="935"/>
      <c r="BB187" s="935"/>
      <c r="BC187" s="935"/>
      <c r="BD187" s="935"/>
      <c r="BE187" s="935"/>
      <c r="BF187" s="935"/>
      <c r="BG187" s="935"/>
      <c r="BH187" s="935"/>
      <c r="BI187" s="935"/>
      <c r="BJ187" s="935"/>
      <c r="BK187" s="935"/>
      <c r="BL187" s="935"/>
      <c r="BM187" s="935"/>
      <c r="BN187" s="935"/>
      <c r="BO187" s="935"/>
      <c r="BP187" s="935"/>
      <c r="BQ187" s="935"/>
      <c r="BR187" s="935"/>
      <c r="BS187" s="935"/>
      <c r="BT187" s="935"/>
    </row>
    <row r="188" spans="1:72" x14ac:dyDescent="0.25">
      <c r="A188" s="935" t="s">
        <v>611</v>
      </c>
      <c r="B188" s="935">
        <v>8.8699999999999992</v>
      </c>
      <c r="C188" s="935">
        <v>14.77</v>
      </c>
      <c r="D188" s="935">
        <v>9.1</v>
      </c>
      <c r="E188" s="935">
        <v>11.22</v>
      </c>
      <c r="F188" s="935">
        <v>11.49</v>
      </c>
      <c r="G188" s="935">
        <v>12.89</v>
      </c>
      <c r="H188" s="935">
        <v>14.14</v>
      </c>
      <c r="I188" s="935">
        <v>15.19</v>
      </c>
      <c r="J188" s="935">
        <v>15.89</v>
      </c>
      <c r="K188" s="935">
        <v>16.600000000000001</v>
      </c>
      <c r="L188" s="935">
        <v>17.5</v>
      </c>
      <c r="M188" s="935">
        <v>18.3</v>
      </c>
      <c r="N188" s="935">
        <v>18.89</v>
      </c>
      <c r="O188" s="935">
        <v>19.329999999999998</v>
      </c>
      <c r="P188" s="935">
        <v>20.03</v>
      </c>
      <c r="Q188" s="935">
        <v>20.64</v>
      </c>
      <c r="R188" s="935">
        <v>21.36</v>
      </c>
      <c r="S188" s="935">
        <v>22.08</v>
      </c>
      <c r="T188" s="935">
        <v>22.8</v>
      </c>
      <c r="U188" s="935">
        <v>23.35</v>
      </c>
      <c r="V188" s="935">
        <v>24.24</v>
      </c>
      <c r="W188" s="935">
        <v>25.11</v>
      </c>
      <c r="X188" s="935">
        <v>26.08</v>
      </c>
      <c r="Y188" s="935">
        <v>27.11</v>
      </c>
      <c r="Z188" s="935">
        <v>28.23</v>
      </c>
      <c r="AA188" s="935">
        <v>29.29</v>
      </c>
      <c r="AB188" s="935">
        <v>30.29</v>
      </c>
      <c r="AC188" s="935">
        <v>31.46</v>
      </c>
      <c r="AD188" s="935">
        <v>32.700000000000003</v>
      </c>
      <c r="AE188" s="974">
        <v>0.03</v>
      </c>
      <c r="AF188" s="935"/>
      <c r="AG188" s="935"/>
      <c r="AH188" s="935"/>
      <c r="AI188" s="935"/>
      <c r="AJ188" s="935"/>
      <c r="AK188" s="935"/>
      <c r="AL188" s="935"/>
      <c r="AM188" s="935"/>
      <c r="AN188" s="935"/>
      <c r="AO188" s="935"/>
      <c r="AP188" s="935"/>
      <c r="AQ188" s="935"/>
      <c r="AR188" s="935"/>
      <c r="AS188" s="935"/>
      <c r="AT188" s="935"/>
      <c r="AU188" s="935"/>
      <c r="AV188" s="935"/>
      <c r="AW188" s="935"/>
      <c r="AX188" s="935"/>
      <c r="AY188" s="935"/>
      <c r="AZ188" s="935"/>
      <c r="BA188" s="935"/>
      <c r="BB188" s="935"/>
      <c r="BC188" s="935"/>
      <c r="BD188" s="935"/>
      <c r="BE188" s="935"/>
      <c r="BF188" s="935"/>
      <c r="BG188" s="935"/>
      <c r="BH188" s="935"/>
      <c r="BI188" s="935"/>
      <c r="BJ188" s="935"/>
      <c r="BK188" s="935"/>
      <c r="BL188" s="935"/>
      <c r="BM188" s="935"/>
      <c r="BN188" s="935"/>
      <c r="BO188" s="935"/>
      <c r="BP188" s="935"/>
      <c r="BQ188" s="935"/>
      <c r="BR188" s="935"/>
      <c r="BS188" s="935"/>
      <c r="BT188" s="935"/>
    </row>
    <row r="189" spans="1:72" x14ac:dyDescent="0.25">
      <c r="A189" s="935" t="s">
        <v>510</v>
      </c>
      <c r="B189" s="935">
        <v>8.99</v>
      </c>
      <c r="C189" s="935">
        <v>10.53</v>
      </c>
      <c r="D189" s="935">
        <v>6.67</v>
      </c>
      <c r="E189" s="935">
        <v>7.08</v>
      </c>
      <c r="F189" s="935">
        <v>8.2100000000000009</v>
      </c>
      <c r="G189" s="935">
        <v>8.68</v>
      </c>
      <c r="H189" s="935">
        <v>8.67</v>
      </c>
      <c r="I189" s="935">
        <v>8.7799999999999994</v>
      </c>
      <c r="J189" s="935">
        <v>9.07</v>
      </c>
      <c r="K189" s="935">
        <v>9.33</v>
      </c>
      <c r="L189" s="935">
        <v>9.5</v>
      </c>
      <c r="M189" s="935">
        <v>9.73</v>
      </c>
      <c r="N189" s="935">
        <v>9.98</v>
      </c>
      <c r="O189" s="935">
        <v>10.32</v>
      </c>
      <c r="P189" s="935">
        <v>10.67</v>
      </c>
      <c r="Q189" s="935">
        <v>11.14</v>
      </c>
      <c r="R189" s="935">
        <v>11.42</v>
      </c>
      <c r="S189" s="935">
        <v>11.55</v>
      </c>
      <c r="T189" s="935">
        <v>11.88</v>
      </c>
      <c r="U189" s="935">
        <v>12.31</v>
      </c>
      <c r="V189" s="935">
        <v>12.79</v>
      </c>
      <c r="W189" s="935">
        <v>13.39</v>
      </c>
      <c r="X189" s="935">
        <v>14.02</v>
      </c>
      <c r="Y189" s="935">
        <v>14.7</v>
      </c>
      <c r="Z189" s="935">
        <v>15.51</v>
      </c>
      <c r="AA189" s="935">
        <v>16.05</v>
      </c>
      <c r="AB189" s="935">
        <v>16.46</v>
      </c>
      <c r="AC189" s="935">
        <v>17.12</v>
      </c>
      <c r="AD189" s="935">
        <v>17.71</v>
      </c>
      <c r="AE189" s="974">
        <v>1.9E-2</v>
      </c>
      <c r="AF189" s="935"/>
      <c r="AG189" s="935"/>
      <c r="AH189" s="935"/>
      <c r="AI189" s="935"/>
      <c r="AJ189" s="935"/>
      <c r="AK189" s="935"/>
      <c r="AL189" s="935"/>
      <c r="AM189" s="935"/>
      <c r="AN189" s="935"/>
      <c r="AO189" s="935"/>
      <c r="AP189" s="935"/>
      <c r="AQ189" s="935"/>
      <c r="AR189" s="935"/>
      <c r="AS189" s="935"/>
      <c r="AT189" s="935"/>
      <c r="AU189" s="935"/>
      <c r="AV189" s="935"/>
      <c r="AW189" s="935"/>
      <c r="AX189" s="935"/>
      <c r="AY189" s="935"/>
      <c r="AZ189" s="935"/>
      <c r="BA189" s="935"/>
      <c r="BB189" s="935"/>
      <c r="BC189" s="935"/>
      <c r="BD189" s="935"/>
      <c r="BE189" s="935"/>
      <c r="BF189" s="935"/>
      <c r="BG189" s="935"/>
      <c r="BH189" s="935"/>
      <c r="BI189" s="935"/>
      <c r="BJ189" s="935"/>
      <c r="BK189" s="935"/>
      <c r="BL189" s="935"/>
      <c r="BM189" s="935"/>
      <c r="BN189" s="935"/>
      <c r="BO189" s="935"/>
      <c r="BP189" s="935"/>
      <c r="BQ189" s="935"/>
      <c r="BR189" s="935"/>
      <c r="BS189" s="935"/>
      <c r="BT189" s="935"/>
    </row>
    <row r="190" spans="1:72" x14ac:dyDescent="0.25">
      <c r="A190" s="935" t="s">
        <v>614</v>
      </c>
      <c r="B190" s="935">
        <v>3.61</v>
      </c>
      <c r="C190" s="935">
        <v>4.49</v>
      </c>
      <c r="D190" s="935">
        <v>4.79</v>
      </c>
      <c r="E190" s="935">
        <v>4.9400000000000004</v>
      </c>
      <c r="F190" s="935">
        <v>5.07</v>
      </c>
      <c r="G190" s="935">
        <v>5.31</v>
      </c>
      <c r="H190" s="935">
        <v>5.44</v>
      </c>
      <c r="I190" s="935">
        <v>5.56</v>
      </c>
      <c r="J190" s="935">
        <v>5.66</v>
      </c>
      <c r="K190" s="935">
        <v>5.77</v>
      </c>
      <c r="L190" s="935">
        <v>5.97</v>
      </c>
      <c r="M190" s="935">
        <v>6.14</v>
      </c>
      <c r="N190" s="935">
        <v>6.34</v>
      </c>
      <c r="O190" s="935">
        <v>6.5</v>
      </c>
      <c r="P190" s="935">
        <v>6.68</v>
      </c>
      <c r="Q190" s="935">
        <v>6.84</v>
      </c>
      <c r="R190" s="935">
        <v>6.98</v>
      </c>
      <c r="S190" s="935">
        <v>7.07</v>
      </c>
      <c r="T190" s="935">
        <v>7.11</v>
      </c>
      <c r="U190" s="935">
        <v>7.15</v>
      </c>
      <c r="V190" s="935">
        <v>7.27</v>
      </c>
      <c r="W190" s="935">
        <v>7.43</v>
      </c>
      <c r="X190" s="935">
        <v>7.55</v>
      </c>
      <c r="Y190" s="935">
        <v>7.72</v>
      </c>
      <c r="Z190" s="935">
        <v>7.86</v>
      </c>
      <c r="AA190" s="935">
        <v>8.02</v>
      </c>
      <c r="AB190" s="935">
        <v>8.18</v>
      </c>
      <c r="AC190" s="935">
        <v>8.33</v>
      </c>
      <c r="AD190" s="935">
        <v>8.5</v>
      </c>
      <c r="AE190" s="974">
        <v>2.4E-2</v>
      </c>
      <c r="AF190" s="935"/>
      <c r="AG190" s="935"/>
      <c r="AH190" s="935"/>
      <c r="AI190" s="935"/>
      <c r="AJ190" s="935"/>
      <c r="AK190" s="935"/>
      <c r="AL190" s="935"/>
      <c r="AM190" s="935"/>
      <c r="AN190" s="935"/>
      <c r="AO190" s="935"/>
      <c r="AP190" s="935"/>
      <c r="AQ190" s="935"/>
      <c r="AR190" s="935"/>
      <c r="AS190" s="935"/>
      <c r="AT190" s="935"/>
      <c r="AU190" s="935"/>
      <c r="AV190" s="935"/>
      <c r="AW190" s="935"/>
      <c r="AX190" s="935"/>
      <c r="AY190" s="935"/>
      <c r="AZ190" s="935"/>
      <c r="BA190" s="935"/>
      <c r="BB190" s="935"/>
      <c r="BC190" s="935"/>
      <c r="BD190" s="935"/>
      <c r="BE190" s="935"/>
      <c r="BF190" s="935"/>
      <c r="BG190" s="935"/>
      <c r="BH190" s="935"/>
      <c r="BI190" s="935"/>
      <c r="BJ190" s="935"/>
      <c r="BK190" s="935"/>
      <c r="BL190" s="935"/>
      <c r="BM190" s="935"/>
      <c r="BN190" s="935"/>
      <c r="BO190" s="935"/>
      <c r="BP190" s="935"/>
      <c r="BQ190" s="935"/>
      <c r="BR190" s="935"/>
      <c r="BS190" s="935"/>
      <c r="BT190" s="935"/>
    </row>
    <row r="191" spans="1:72" x14ac:dyDescent="0.25">
      <c r="A191" s="935" t="s">
        <v>627</v>
      </c>
      <c r="B191" s="935">
        <v>1.8</v>
      </c>
      <c r="C191" s="935">
        <v>2.1</v>
      </c>
      <c r="D191" s="935">
        <v>2.2200000000000002</v>
      </c>
      <c r="E191" s="935">
        <v>2.09</v>
      </c>
      <c r="F191" s="935">
        <v>2.11</v>
      </c>
      <c r="G191" s="935">
        <v>2.14</v>
      </c>
      <c r="H191" s="935">
        <v>2.19</v>
      </c>
      <c r="I191" s="935">
        <v>2.23</v>
      </c>
      <c r="J191" s="935">
        <v>2.2799999999999998</v>
      </c>
      <c r="K191" s="935">
        <v>2.2999999999999998</v>
      </c>
      <c r="L191" s="935">
        <v>2.35</v>
      </c>
      <c r="M191" s="935">
        <v>2.39</v>
      </c>
      <c r="N191" s="935">
        <v>2.4300000000000002</v>
      </c>
      <c r="O191" s="935">
        <v>2.4700000000000002</v>
      </c>
      <c r="P191" s="935">
        <v>2.52</v>
      </c>
      <c r="Q191" s="935">
        <v>2.58</v>
      </c>
      <c r="R191" s="935">
        <v>2.64</v>
      </c>
      <c r="S191" s="935">
        <v>2.69</v>
      </c>
      <c r="T191" s="935">
        <v>2.74</v>
      </c>
      <c r="U191" s="935">
        <v>2.81</v>
      </c>
      <c r="V191" s="935">
        <v>2.87</v>
      </c>
      <c r="W191" s="935">
        <v>2.95</v>
      </c>
      <c r="X191" s="935">
        <v>3.03</v>
      </c>
      <c r="Y191" s="935">
        <v>3.11</v>
      </c>
      <c r="Z191" s="935">
        <v>3.2</v>
      </c>
      <c r="AA191" s="935">
        <v>3.28</v>
      </c>
      <c r="AB191" s="935">
        <v>3.37</v>
      </c>
      <c r="AC191" s="935">
        <v>3.46</v>
      </c>
      <c r="AD191" s="935">
        <v>3.56</v>
      </c>
      <c r="AE191" s="974">
        <v>0.02</v>
      </c>
      <c r="AF191" s="935"/>
      <c r="AG191" s="935"/>
      <c r="AH191" s="935"/>
      <c r="AI191" s="935"/>
      <c r="AJ191" s="935"/>
      <c r="AK191" s="935"/>
      <c r="AL191" s="935"/>
      <c r="AM191" s="935"/>
      <c r="AN191" s="935"/>
      <c r="AO191" s="935"/>
      <c r="AP191" s="935"/>
      <c r="AQ191" s="935"/>
      <c r="AR191" s="935"/>
      <c r="AS191" s="935"/>
      <c r="AT191" s="935"/>
      <c r="AU191" s="935"/>
      <c r="AV191" s="935"/>
      <c r="AW191" s="935"/>
      <c r="AX191" s="935"/>
      <c r="AY191" s="935"/>
      <c r="AZ191" s="935"/>
      <c r="BA191" s="935"/>
      <c r="BB191" s="935"/>
      <c r="BC191" s="935"/>
      <c r="BD191" s="935"/>
      <c r="BE191" s="935"/>
      <c r="BF191" s="935"/>
      <c r="BG191" s="935"/>
      <c r="BH191" s="935"/>
      <c r="BI191" s="935"/>
      <c r="BJ191" s="935"/>
      <c r="BK191" s="935"/>
      <c r="BL191" s="935"/>
      <c r="BM191" s="935"/>
      <c r="BN191" s="935"/>
      <c r="BO191" s="935"/>
      <c r="BP191" s="935"/>
      <c r="BQ191" s="935"/>
      <c r="BR191" s="935"/>
      <c r="BS191" s="935"/>
      <c r="BT191" s="935"/>
    </row>
    <row r="192" spans="1:72" x14ac:dyDescent="0.25">
      <c r="A192" s="935" t="s">
        <v>616</v>
      </c>
      <c r="B192" s="935" t="s">
        <v>788</v>
      </c>
      <c r="C192" s="935" t="s">
        <v>788</v>
      </c>
      <c r="D192" s="935" t="s">
        <v>788</v>
      </c>
      <c r="E192" s="935" t="s">
        <v>788</v>
      </c>
      <c r="F192" s="935">
        <v>1.32</v>
      </c>
      <c r="G192" s="935">
        <v>1.1000000000000001</v>
      </c>
      <c r="H192" s="935">
        <v>1.1200000000000001</v>
      </c>
      <c r="I192" s="935">
        <v>1.55</v>
      </c>
      <c r="J192" s="935">
        <v>1.58</v>
      </c>
      <c r="K192" s="935">
        <v>1.65</v>
      </c>
      <c r="L192" s="935">
        <v>1.72</v>
      </c>
      <c r="M192" s="935">
        <v>1.74</v>
      </c>
      <c r="N192" s="935">
        <v>1.76</v>
      </c>
      <c r="O192" s="935">
        <v>1.79</v>
      </c>
      <c r="P192" s="935">
        <v>1.86</v>
      </c>
      <c r="Q192" s="935">
        <v>1.91</v>
      </c>
      <c r="R192" s="935">
        <v>1.98</v>
      </c>
      <c r="S192" s="935">
        <v>1.99</v>
      </c>
      <c r="T192" s="935">
        <v>2.02</v>
      </c>
      <c r="U192" s="935">
        <v>2.04</v>
      </c>
      <c r="V192" s="935">
        <v>2.0699999999999998</v>
      </c>
      <c r="W192" s="935">
        <v>2.1</v>
      </c>
      <c r="X192" s="935">
        <v>2.13</v>
      </c>
      <c r="Y192" s="935">
        <v>2.1800000000000002</v>
      </c>
      <c r="Z192" s="935">
        <v>2.2200000000000002</v>
      </c>
      <c r="AA192" s="935">
        <v>2.2799999999999998</v>
      </c>
      <c r="AB192" s="935">
        <v>2.35</v>
      </c>
      <c r="AC192" s="935">
        <v>2.44</v>
      </c>
      <c r="AD192" s="935">
        <v>2.5299999999999998</v>
      </c>
      <c r="AE192" s="935" t="s">
        <v>788</v>
      </c>
      <c r="AF192" s="935"/>
      <c r="AG192" s="935"/>
      <c r="AH192" s="935"/>
      <c r="AI192" s="935"/>
      <c r="AJ192" s="935"/>
      <c r="AK192" s="935"/>
      <c r="AL192" s="935"/>
      <c r="AM192" s="935"/>
      <c r="AN192" s="935"/>
      <c r="AO192" s="935"/>
      <c r="AP192" s="935"/>
      <c r="AQ192" s="935"/>
      <c r="AR192" s="935"/>
      <c r="AS192" s="935"/>
      <c r="AT192" s="935"/>
      <c r="AU192" s="935"/>
      <c r="AV192" s="935"/>
      <c r="AW192" s="935"/>
      <c r="AX192" s="935"/>
      <c r="AY192" s="935"/>
      <c r="AZ192" s="935"/>
      <c r="BA192" s="935"/>
      <c r="BB192" s="935"/>
      <c r="BC192" s="935"/>
      <c r="BD192" s="935"/>
      <c r="BE192" s="935"/>
      <c r="BF192" s="935"/>
      <c r="BG192" s="935"/>
      <c r="BH192" s="935"/>
      <c r="BI192" s="935"/>
      <c r="BJ192" s="935"/>
      <c r="BK192" s="935"/>
      <c r="BL192" s="935"/>
      <c r="BM192" s="935"/>
      <c r="BN192" s="935"/>
      <c r="BO192" s="935"/>
      <c r="BP192" s="935"/>
      <c r="BQ192" s="935"/>
      <c r="BR192" s="935"/>
      <c r="BS192" s="935"/>
      <c r="BT192" s="935"/>
    </row>
    <row r="193" spans="1:72" x14ac:dyDescent="0.25">
      <c r="A193" s="935" t="s">
        <v>479</v>
      </c>
      <c r="B193" s="935">
        <v>26.66</v>
      </c>
      <c r="C193" s="935">
        <v>28.81</v>
      </c>
      <c r="D193" s="935">
        <v>28.5</v>
      </c>
      <c r="E193" s="935">
        <v>27.58</v>
      </c>
      <c r="F193" s="935">
        <v>26.29</v>
      </c>
      <c r="G193" s="935">
        <v>27.63</v>
      </c>
      <c r="H193" s="935">
        <v>28.19</v>
      </c>
      <c r="I193" s="935">
        <v>28.46</v>
      </c>
      <c r="J193" s="935">
        <v>28.92</v>
      </c>
      <c r="K193" s="935">
        <v>29.72</v>
      </c>
      <c r="L193" s="935">
        <v>30.45</v>
      </c>
      <c r="M193" s="935">
        <v>31.03</v>
      </c>
      <c r="N193" s="935">
        <v>31.53</v>
      </c>
      <c r="O193" s="935">
        <v>32.4</v>
      </c>
      <c r="P193" s="935">
        <v>33.33</v>
      </c>
      <c r="Q193" s="935">
        <v>34.229999999999997</v>
      </c>
      <c r="R193" s="935">
        <v>35.22</v>
      </c>
      <c r="S193" s="935">
        <v>36.159999999999997</v>
      </c>
      <c r="T193" s="935">
        <v>36.869999999999997</v>
      </c>
      <c r="U193" s="935">
        <v>37.86</v>
      </c>
      <c r="V193" s="935">
        <v>38.94</v>
      </c>
      <c r="W193" s="935">
        <v>40.090000000000003</v>
      </c>
      <c r="X193" s="935">
        <v>41.58</v>
      </c>
      <c r="Y193" s="935">
        <v>43</v>
      </c>
      <c r="Z193" s="935">
        <v>44.53</v>
      </c>
      <c r="AA193" s="935">
        <v>46.07</v>
      </c>
      <c r="AB193" s="935">
        <v>47.34</v>
      </c>
      <c r="AC193" s="935">
        <v>48.78</v>
      </c>
      <c r="AD193" s="935">
        <v>50.19</v>
      </c>
      <c r="AE193" s="974">
        <v>2.1000000000000001E-2</v>
      </c>
      <c r="AF193" s="935"/>
      <c r="AG193" s="935"/>
      <c r="AH193" s="935"/>
      <c r="AI193" s="935"/>
      <c r="AJ193" s="935"/>
      <c r="AK193" s="935"/>
      <c r="AL193" s="935"/>
      <c r="AM193" s="935"/>
      <c r="AN193" s="935"/>
      <c r="AO193" s="935"/>
      <c r="AP193" s="935"/>
      <c r="AQ193" s="935"/>
      <c r="AR193" s="935"/>
      <c r="AS193" s="935"/>
      <c r="AT193" s="935"/>
      <c r="AU193" s="935"/>
      <c r="AV193" s="935"/>
      <c r="AW193" s="935"/>
      <c r="AX193" s="935"/>
      <c r="AY193" s="935"/>
      <c r="AZ193" s="935"/>
      <c r="BA193" s="935"/>
      <c r="BB193" s="935"/>
      <c r="BC193" s="935"/>
      <c r="BD193" s="935"/>
      <c r="BE193" s="935"/>
      <c r="BF193" s="935"/>
      <c r="BG193" s="935"/>
      <c r="BH193" s="935"/>
      <c r="BI193" s="935"/>
      <c r="BJ193" s="935"/>
      <c r="BK193" s="935"/>
      <c r="BL193" s="935"/>
      <c r="BM193" s="935"/>
      <c r="BN193" s="935"/>
      <c r="BO193" s="935"/>
      <c r="BP193" s="935"/>
      <c r="BQ193" s="935"/>
      <c r="BR193" s="935"/>
      <c r="BS193" s="935"/>
      <c r="BT193" s="935"/>
    </row>
    <row r="194" spans="1:72" x14ac:dyDescent="0.25">
      <c r="A194" s="935"/>
      <c r="B194" s="935"/>
      <c r="C194" s="935"/>
      <c r="D194" s="935"/>
      <c r="E194" s="935"/>
      <c r="F194" s="935"/>
      <c r="G194" s="935"/>
      <c r="H194" s="935"/>
      <c r="I194" s="935"/>
      <c r="J194" s="935"/>
      <c r="K194" s="935"/>
      <c r="L194" s="935"/>
      <c r="M194" s="935"/>
      <c r="N194" s="935"/>
      <c r="O194" s="935"/>
      <c r="P194" s="935"/>
      <c r="Q194" s="935"/>
      <c r="R194" s="935"/>
      <c r="S194" s="935"/>
      <c r="T194" s="935"/>
      <c r="U194" s="935"/>
      <c r="V194" s="935"/>
      <c r="W194" s="935"/>
      <c r="X194" s="935"/>
      <c r="Y194" s="935"/>
      <c r="Z194" s="935"/>
      <c r="AA194" s="935"/>
      <c r="AB194" s="935"/>
      <c r="AC194" s="935"/>
      <c r="AD194" s="935"/>
      <c r="AE194" s="935"/>
      <c r="AF194" s="935"/>
      <c r="AG194" s="935"/>
      <c r="AH194" s="935"/>
      <c r="AI194" s="935"/>
      <c r="AJ194" s="935"/>
      <c r="AK194" s="935"/>
      <c r="AL194" s="935"/>
      <c r="AM194" s="935"/>
      <c r="AN194" s="935"/>
      <c r="AO194" s="935"/>
      <c r="AP194" s="935"/>
      <c r="AQ194" s="935"/>
      <c r="AR194" s="935"/>
      <c r="AS194" s="935"/>
      <c r="AT194" s="935"/>
      <c r="AU194" s="935"/>
      <c r="AV194" s="935"/>
      <c r="AW194" s="935"/>
      <c r="AX194" s="935"/>
      <c r="AY194" s="935"/>
      <c r="AZ194" s="935"/>
      <c r="BA194" s="935"/>
      <c r="BB194" s="935"/>
      <c r="BC194" s="935"/>
      <c r="BD194" s="935"/>
      <c r="BE194" s="935"/>
      <c r="BF194" s="935"/>
      <c r="BG194" s="935"/>
      <c r="BH194" s="935"/>
      <c r="BI194" s="935"/>
      <c r="BJ194" s="935"/>
      <c r="BK194" s="935"/>
      <c r="BL194" s="935"/>
      <c r="BM194" s="935"/>
      <c r="BN194" s="935"/>
      <c r="BO194" s="935"/>
      <c r="BP194" s="935"/>
      <c r="BQ194" s="935"/>
      <c r="BR194" s="935"/>
      <c r="BS194" s="935"/>
      <c r="BT194" s="935"/>
    </row>
    <row r="195" spans="1:72" x14ac:dyDescent="0.25">
      <c r="A195" s="935" t="s">
        <v>513</v>
      </c>
      <c r="B195" s="935"/>
      <c r="C195" s="935"/>
      <c r="D195" s="935"/>
      <c r="E195" s="935"/>
      <c r="F195" s="935"/>
      <c r="G195" s="935"/>
      <c r="H195" s="935"/>
      <c r="I195" s="935"/>
      <c r="J195" s="935"/>
      <c r="K195" s="935"/>
      <c r="L195" s="935"/>
      <c r="M195" s="935"/>
      <c r="N195" s="935"/>
      <c r="O195" s="935"/>
      <c r="P195" s="935"/>
      <c r="Q195" s="935"/>
      <c r="R195" s="935"/>
      <c r="S195" s="935"/>
      <c r="T195" s="935"/>
      <c r="U195" s="935"/>
      <c r="V195" s="935"/>
      <c r="W195" s="935"/>
      <c r="X195" s="935"/>
      <c r="Y195" s="935"/>
      <c r="Z195" s="935"/>
      <c r="AA195" s="935"/>
      <c r="AB195" s="935"/>
      <c r="AC195" s="935"/>
      <c r="AD195" s="935"/>
      <c r="AE195" s="935"/>
      <c r="AF195" s="935"/>
      <c r="AG195" s="935"/>
      <c r="AH195" s="935"/>
      <c r="AI195" s="935"/>
      <c r="AJ195" s="935"/>
      <c r="AK195" s="935"/>
      <c r="AL195" s="935"/>
      <c r="AM195" s="935"/>
      <c r="AN195" s="935"/>
      <c r="AO195" s="935"/>
      <c r="AP195" s="935"/>
      <c r="AQ195" s="935"/>
      <c r="AR195" s="935"/>
      <c r="AS195" s="935"/>
      <c r="AT195" s="935"/>
      <c r="AU195" s="935"/>
      <c r="AV195" s="935"/>
      <c r="AW195" s="935"/>
      <c r="AX195" s="935"/>
      <c r="AY195" s="935"/>
      <c r="AZ195" s="935"/>
      <c r="BA195" s="935"/>
      <c r="BB195" s="935"/>
      <c r="BC195" s="935"/>
      <c r="BD195" s="935"/>
      <c r="BE195" s="935"/>
      <c r="BF195" s="935"/>
      <c r="BG195" s="935"/>
      <c r="BH195" s="935"/>
      <c r="BI195" s="935"/>
      <c r="BJ195" s="935"/>
      <c r="BK195" s="935"/>
      <c r="BL195" s="935"/>
      <c r="BM195" s="935"/>
      <c r="BN195" s="935"/>
      <c r="BO195" s="935"/>
      <c r="BP195" s="935"/>
      <c r="BQ195" s="935"/>
      <c r="BR195" s="935"/>
      <c r="BS195" s="935"/>
      <c r="BT195" s="935"/>
    </row>
    <row r="196" spans="1:72" x14ac:dyDescent="0.25">
      <c r="A196" s="935" t="s">
        <v>727</v>
      </c>
      <c r="B196" s="935"/>
      <c r="C196" s="935"/>
      <c r="D196" s="935"/>
      <c r="E196" s="935"/>
      <c r="F196" s="935"/>
      <c r="G196" s="935"/>
      <c r="H196" s="935"/>
      <c r="I196" s="935"/>
      <c r="J196" s="935"/>
      <c r="K196" s="935"/>
      <c r="L196" s="935"/>
      <c r="M196" s="935"/>
      <c r="N196" s="935"/>
      <c r="O196" s="935"/>
      <c r="P196" s="935"/>
      <c r="Q196" s="935"/>
      <c r="R196" s="935"/>
      <c r="S196" s="935"/>
      <c r="T196" s="935"/>
      <c r="U196" s="935"/>
      <c r="V196" s="935"/>
      <c r="W196" s="935"/>
      <c r="X196" s="935"/>
      <c r="Y196" s="935"/>
      <c r="Z196" s="935"/>
      <c r="AA196" s="935"/>
      <c r="AB196" s="935"/>
      <c r="AC196" s="935"/>
      <c r="AD196" s="935"/>
      <c r="AE196" s="935"/>
      <c r="AF196" s="935"/>
      <c r="AG196" s="935"/>
      <c r="AH196" s="935"/>
      <c r="AI196" s="935"/>
      <c r="AJ196" s="935"/>
      <c r="AK196" s="935"/>
      <c r="AL196" s="935"/>
      <c r="AM196" s="935"/>
      <c r="AN196" s="935"/>
      <c r="AO196" s="935"/>
      <c r="AP196" s="935"/>
      <c r="AQ196" s="935"/>
      <c r="AR196" s="935"/>
      <c r="AS196" s="935"/>
      <c r="AT196" s="935"/>
      <c r="AU196" s="935"/>
      <c r="AV196" s="935"/>
      <c r="AW196" s="935"/>
      <c r="AX196" s="935"/>
      <c r="AY196" s="935"/>
      <c r="AZ196" s="935"/>
      <c r="BA196" s="935"/>
      <c r="BB196" s="935"/>
      <c r="BC196" s="935"/>
      <c r="BD196" s="935"/>
      <c r="BE196" s="935"/>
      <c r="BF196" s="935"/>
      <c r="BG196" s="935"/>
      <c r="BH196" s="935"/>
      <c r="BI196" s="935"/>
      <c r="BJ196" s="935"/>
      <c r="BK196" s="935"/>
      <c r="BL196" s="935"/>
      <c r="BM196" s="935"/>
      <c r="BN196" s="935"/>
      <c r="BO196" s="935"/>
      <c r="BP196" s="935"/>
      <c r="BQ196" s="935"/>
      <c r="BR196" s="935"/>
      <c r="BS196" s="935"/>
      <c r="BT196" s="935"/>
    </row>
    <row r="197" spans="1:72" x14ac:dyDescent="0.25">
      <c r="A197" s="935" t="s">
        <v>473</v>
      </c>
      <c r="B197" s="935">
        <v>236.38</v>
      </c>
      <c r="C197" s="935">
        <v>254.66</v>
      </c>
      <c r="D197" s="935">
        <v>235.17</v>
      </c>
      <c r="E197" s="935">
        <v>230.51</v>
      </c>
      <c r="F197" s="935">
        <v>232.31</v>
      </c>
      <c r="G197" s="935">
        <v>244.12</v>
      </c>
      <c r="H197" s="935">
        <v>246.57</v>
      </c>
      <c r="I197" s="935">
        <v>251.37</v>
      </c>
      <c r="J197" s="935">
        <v>257.29000000000002</v>
      </c>
      <c r="K197" s="935">
        <v>266.02999999999997</v>
      </c>
      <c r="L197" s="935">
        <v>273.52999999999997</v>
      </c>
      <c r="M197" s="935">
        <v>281.39999999999998</v>
      </c>
      <c r="N197" s="935">
        <v>289.27</v>
      </c>
      <c r="O197" s="935">
        <v>299.58999999999997</v>
      </c>
      <c r="P197" s="935">
        <v>309.45</v>
      </c>
      <c r="Q197" s="935">
        <v>320.3</v>
      </c>
      <c r="R197" s="935">
        <v>330.83</v>
      </c>
      <c r="S197" s="935">
        <v>341.36</v>
      </c>
      <c r="T197" s="935">
        <v>351.09</v>
      </c>
      <c r="U197" s="935">
        <v>363.72</v>
      </c>
      <c r="V197" s="935">
        <v>377.1</v>
      </c>
      <c r="W197" s="935">
        <v>392.03</v>
      </c>
      <c r="X197" s="935">
        <v>407.27</v>
      </c>
      <c r="Y197" s="935">
        <v>423.22</v>
      </c>
      <c r="Z197" s="935">
        <v>441.01</v>
      </c>
      <c r="AA197" s="935">
        <v>458.4</v>
      </c>
      <c r="AB197" s="935">
        <v>471.99</v>
      </c>
      <c r="AC197" s="935">
        <v>489.06</v>
      </c>
      <c r="AD197" s="935">
        <v>506.03</v>
      </c>
      <c r="AE197" s="974">
        <v>2.5999999999999999E-2</v>
      </c>
      <c r="AF197" s="935"/>
      <c r="AG197" s="935"/>
      <c r="AH197" s="935"/>
      <c r="AI197" s="935"/>
      <c r="AJ197" s="935"/>
      <c r="AK197" s="935"/>
      <c r="AL197" s="935"/>
      <c r="AM197" s="935"/>
      <c r="AN197" s="935"/>
      <c r="AO197" s="935"/>
      <c r="AP197" s="935"/>
      <c r="AQ197" s="935"/>
      <c r="AR197" s="935"/>
      <c r="AS197" s="935"/>
      <c r="AT197" s="935"/>
      <c r="AU197" s="935"/>
      <c r="AV197" s="935"/>
      <c r="AW197" s="935"/>
      <c r="AX197" s="935"/>
      <c r="AY197" s="935"/>
      <c r="AZ197" s="935"/>
      <c r="BA197" s="935"/>
      <c r="BB197" s="935"/>
      <c r="BC197" s="935"/>
      <c r="BD197" s="935"/>
      <c r="BE197" s="935"/>
      <c r="BF197" s="935"/>
      <c r="BG197" s="935"/>
      <c r="BH197" s="935"/>
      <c r="BI197" s="935"/>
      <c r="BJ197" s="935"/>
      <c r="BK197" s="935"/>
      <c r="BL197" s="935"/>
      <c r="BM197" s="935"/>
      <c r="BN197" s="935"/>
      <c r="BO197" s="935"/>
      <c r="BP197" s="935"/>
      <c r="BQ197" s="935"/>
      <c r="BR197" s="935"/>
      <c r="BS197" s="935"/>
      <c r="BT197" s="935"/>
    </row>
    <row r="198" spans="1:72" x14ac:dyDescent="0.25">
      <c r="A198" s="935" t="s">
        <v>480</v>
      </c>
      <c r="B198" s="935">
        <v>172.75</v>
      </c>
      <c r="C198" s="935">
        <v>191.19</v>
      </c>
      <c r="D198" s="935">
        <v>171.27</v>
      </c>
      <c r="E198" s="935">
        <v>168.36</v>
      </c>
      <c r="F198" s="935">
        <v>170.83</v>
      </c>
      <c r="G198" s="935">
        <v>182.74</v>
      </c>
      <c r="H198" s="935">
        <v>187.26</v>
      </c>
      <c r="I198" s="935">
        <v>190.86</v>
      </c>
      <c r="J198" s="935">
        <v>197.13</v>
      </c>
      <c r="K198" s="935">
        <v>205.11</v>
      </c>
      <c r="L198" s="935">
        <v>212.7</v>
      </c>
      <c r="M198" s="935">
        <v>219.88</v>
      </c>
      <c r="N198" s="935">
        <v>226.94</v>
      </c>
      <c r="O198" s="935">
        <v>236.05</v>
      </c>
      <c r="P198" s="935">
        <v>245.65</v>
      </c>
      <c r="Q198" s="935">
        <v>255.58</v>
      </c>
      <c r="R198" s="935">
        <v>265.91000000000003</v>
      </c>
      <c r="S198" s="935">
        <v>275.66000000000003</v>
      </c>
      <c r="T198" s="935">
        <v>285.08999999999997</v>
      </c>
      <c r="U198" s="935">
        <v>296.79000000000002</v>
      </c>
      <c r="V198" s="935">
        <v>309.27</v>
      </c>
      <c r="W198" s="935">
        <v>322.77</v>
      </c>
      <c r="X198" s="935">
        <v>338.69</v>
      </c>
      <c r="Y198" s="935">
        <v>354.37</v>
      </c>
      <c r="Z198" s="935">
        <v>371.75</v>
      </c>
      <c r="AA198" s="935">
        <v>388.64</v>
      </c>
      <c r="AB198" s="935">
        <v>403.84</v>
      </c>
      <c r="AC198" s="935">
        <v>421.34</v>
      </c>
      <c r="AD198" s="935">
        <v>438.74</v>
      </c>
      <c r="AE198" s="974">
        <v>3.1E-2</v>
      </c>
      <c r="AF198" s="935"/>
      <c r="AG198" s="935"/>
      <c r="AH198" s="935"/>
      <c r="AI198" s="935"/>
      <c r="AJ198" s="935"/>
      <c r="AK198" s="935"/>
      <c r="AL198" s="935"/>
      <c r="AM198" s="935"/>
      <c r="AN198" s="935"/>
      <c r="AO198" s="935"/>
      <c r="AP198" s="935"/>
      <c r="AQ198" s="935"/>
      <c r="AR198" s="935"/>
      <c r="AS198" s="935"/>
      <c r="AT198" s="935"/>
      <c r="AU198" s="935"/>
      <c r="AV198" s="935"/>
      <c r="AW198" s="935"/>
      <c r="AX198" s="935"/>
      <c r="AY198" s="935"/>
      <c r="AZ198" s="935"/>
      <c r="BA198" s="935"/>
      <c r="BB198" s="935"/>
      <c r="BC198" s="935"/>
      <c r="BD198" s="935"/>
      <c r="BE198" s="935"/>
      <c r="BF198" s="935"/>
      <c r="BG198" s="935"/>
      <c r="BH198" s="935"/>
      <c r="BI198" s="935"/>
      <c r="BJ198" s="935"/>
      <c r="BK198" s="935"/>
      <c r="BL198" s="935"/>
      <c r="BM198" s="935"/>
      <c r="BN198" s="935"/>
      <c r="BO198" s="935"/>
      <c r="BP198" s="935"/>
      <c r="BQ198" s="935"/>
      <c r="BR198" s="935"/>
      <c r="BS198" s="935"/>
      <c r="BT198" s="935"/>
    </row>
    <row r="199" spans="1:72" x14ac:dyDescent="0.25">
      <c r="A199" s="935" t="s">
        <v>515</v>
      </c>
      <c r="B199" s="935">
        <v>214.89</v>
      </c>
      <c r="C199" s="935">
        <v>244.81</v>
      </c>
      <c r="D199" s="935">
        <v>178.09</v>
      </c>
      <c r="E199" s="935">
        <v>168.16</v>
      </c>
      <c r="F199" s="935">
        <v>181.07</v>
      </c>
      <c r="G199" s="935">
        <v>202.87</v>
      </c>
      <c r="H199" s="935">
        <v>217.07</v>
      </c>
      <c r="I199" s="935">
        <v>227.35</v>
      </c>
      <c r="J199" s="935">
        <v>237.51</v>
      </c>
      <c r="K199" s="935">
        <v>248.26</v>
      </c>
      <c r="L199" s="935">
        <v>257.8</v>
      </c>
      <c r="M199" s="935">
        <v>268.36</v>
      </c>
      <c r="N199" s="935">
        <v>277.25</v>
      </c>
      <c r="O199" s="935">
        <v>287.02999999999997</v>
      </c>
      <c r="P199" s="935">
        <v>295.06</v>
      </c>
      <c r="Q199" s="935">
        <v>303.12</v>
      </c>
      <c r="R199" s="935">
        <v>311.48</v>
      </c>
      <c r="S199" s="935">
        <v>319.60000000000002</v>
      </c>
      <c r="T199" s="935">
        <v>328.09</v>
      </c>
      <c r="U199" s="935">
        <v>336.58</v>
      </c>
      <c r="V199" s="935">
        <v>346.81</v>
      </c>
      <c r="W199" s="935">
        <v>357.93</v>
      </c>
      <c r="X199" s="935">
        <v>370.58</v>
      </c>
      <c r="Y199" s="935">
        <v>382.62</v>
      </c>
      <c r="Z199" s="935">
        <v>397.61</v>
      </c>
      <c r="AA199" s="935">
        <v>409.44</v>
      </c>
      <c r="AB199" s="935">
        <v>421.52</v>
      </c>
      <c r="AC199" s="935">
        <v>436.23</v>
      </c>
      <c r="AD199" s="935">
        <v>449</v>
      </c>
      <c r="AE199" s="974">
        <v>2.3E-2</v>
      </c>
      <c r="AF199" s="935"/>
      <c r="AG199" s="935"/>
      <c r="AH199" s="935"/>
      <c r="AI199" s="935"/>
      <c r="AJ199" s="935"/>
      <c r="AK199" s="935"/>
      <c r="AL199" s="935"/>
      <c r="AM199" s="935"/>
      <c r="AN199" s="935"/>
      <c r="AO199" s="935"/>
      <c r="AP199" s="935"/>
      <c r="AQ199" s="935"/>
      <c r="AR199" s="935"/>
      <c r="AS199" s="935"/>
      <c r="AT199" s="935"/>
      <c r="AU199" s="935"/>
      <c r="AV199" s="935"/>
      <c r="AW199" s="935"/>
      <c r="AX199" s="935"/>
      <c r="AY199" s="935"/>
      <c r="AZ199" s="935"/>
      <c r="BA199" s="935"/>
      <c r="BB199" s="935"/>
      <c r="BC199" s="935"/>
      <c r="BD199" s="935"/>
      <c r="BE199" s="935"/>
      <c r="BF199" s="935"/>
      <c r="BG199" s="935"/>
      <c r="BH199" s="935"/>
      <c r="BI199" s="935"/>
      <c r="BJ199" s="935"/>
      <c r="BK199" s="935"/>
      <c r="BL199" s="935"/>
      <c r="BM199" s="935"/>
      <c r="BN199" s="935"/>
      <c r="BO199" s="935"/>
      <c r="BP199" s="935"/>
      <c r="BQ199" s="935"/>
      <c r="BR199" s="935"/>
      <c r="BS199" s="935"/>
      <c r="BT199" s="935"/>
    </row>
    <row r="200" spans="1:72" x14ac:dyDescent="0.25">
      <c r="A200" s="935" t="s">
        <v>487</v>
      </c>
      <c r="B200" s="935">
        <v>599.94000000000005</v>
      </c>
      <c r="C200" s="935">
        <v>705.86</v>
      </c>
      <c r="D200" s="935">
        <v>472.76</v>
      </c>
      <c r="E200" s="935">
        <v>523.54</v>
      </c>
      <c r="F200" s="935">
        <v>551.54</v>
      </c>
      <c r="G200" s="935">
        <v>600.52</v>
      </c>
      <c r="H200" s="935">
        <v>663.3</v>
      </c>
      <c r="I200" s="935">
        <v>702.29</v>
      </c>
      <c r="J200" s="935">
        <v>730.78</v>
      </c>
      <c r="K200" s="935">
        <v>762.17</v>
      </c>
      <c r="L200" s="935">
        <v>797.53</v>
      </c>
      <c r="M200" s="935">
        <v>828.81</v>
      </c>
      <c r="N200" s="935">
        <v>859.4</v>
      </c>
      <c r="O200" s="935">
        <v>891.87</v>
      </c>
      <c r="P200" s="935">
        <v>920.68</v>
      </c>
      <c r="Q200" s="935">
        <v>948.26</v>
      </c>
      <c r="R200" s="935">
        <v>986.59</v>
      </c>
      <c r="S200" s="935">
        <v>1021.27</v>
      </c>
      <c r="T200" s="935">
        <v>1062.24</v>
      </c>
      <c r="U200" s="935">
        <v>1101.69</v>
      </c>
      <c r="V200" s="935">
        <v>1143.03</v>
      </c>
      <c r="W200" s="935">
        <v>1188</v>
      </c>
      <c r="X200" s="935">
        <v>1232.23</v>
      </c>
      <c r="Y200" s="935">
        <v>1277.8499999999999</v>
      </c>
      <c r="Z200" s="935">
        <v>1321.12</v>
      </c>
      <c r="AA200" s="935">
        <v>1371.03</v>
      </c>
      <c r="AB200" s="935">
        <v>1423.78</v>
      </c>
      <c r="AC200" s="935">
        <v>1471.43</v>
      </c>
      <c r="AD200" s="935">
        <v>1525.95</v>
      </c>
      <c r="AE200" s="974">
        <v>2.9000000000000001E-2</v>
      </c>
      <c r="AF200" s="935"/>
      <c r="AG200" s="935"/>
      <c r="AH200" s="935"/>
      <c r="AI200" s="935"/>
      <c r="AJ200" s="935"/>
      <c r="AK200" s="935"/>
      <c r="AL200" s="935"/>
      <c r="AM200" s="935"/>
      <c r="AN200" s="935"/>
      <c r="AO200" s="935"/>
      <c r="AP200" s="935"/>
      <c r="AQ200" s="935"/>
      <c r="AR200" s="935"/>
      <c r="AS200" s="935"/>
      <c r="AT200" s="935"/>
      <c r="AU200" s="935"/>
      <c r="AV200" s="935"/>
      <c r="AW200" s="935"/>
      <c r="AX200" s="935"/>
      <c r="AY200" s="935"/>
      <c r="AZ200" s="935"/>
      <c r="BA200" s="935"/>
      <c r="BB200" s="935"/>
      <c r="BC200" s="935"/>
      <c r="BD200" s="935"/>
      <c r="BE200" s="935"/>
      <c r="BF200" s="935"/>
      <c r="BG200" s="935"/>
      <c r="BH200" s="935"/>
      <c r="BI200" s="935"/>
      <c r="BJ200" s="935"/>
      <c r="BK200" s="935"/>
      <c r="BL200" s="935"/>
      <c r="BM200" s="935"/>
      <c r="BN200" s="935"/>
      <c r="BO200" s="935"/>
      <c r="BP200" s="935"/>
      <c r="BQ200" s="935"/>
      <c r="BR200" s="935"/>
      <c r="BS200" s="935"/>
      <c r="BT200" s="935"/>
    </row>
    <row r="201" spans="1:72" x14ac:dyDescent="0.25">
      <c r="A201" s="935" t="s">
        <v>516</v>
      </c>
      <c r="B201" s="935">
        <v>1223.96</v>
      </c>
      <c r="C201" s="935">
        <v>1396.52</v>
      </c>
      <c r="D201" s="935">
        <v>1057.29</v>
      </c>
      <c r="E201" s="935">
        <v>1090.58</v>
      </c>
      <c r="F201" s="935">
        <v>1135.76</v>
      </c>
      <c r="G201" s="935">
        <v>1230.25</v>
      </c>
      <c r="H201" s="935">
        <v>1314.19</v>
      </c>
      <c r="I201" s="935">
        <v>1371.86</v>
      </c>
      <c r="J201" s="935">
        <v>1422.72</v>
      </c>
      <c r="K201" s="935">
        <v>1481.57</v>
      </c>
      <c r="L201" s="935">
        <v>1541.56</v>
      </c>
      <c r="M201" s="935">
        <v>1598.45</v>
      </c>
      <c r="N201" s="935">
        <v>1652.86</v>
      </c>
      <c r="O201" s="935">
        <v>1714.54</v>
      </c>
      <c r="P201" s="935">
        <v>1770.84</v>
      </c>
      <c r="Q201" s="935">
        <v>1827.25</v>
      </c>
      <c r="R201" s="935">
        <v>1894.81</v>
      </c>
      <c r="S201" s="935">
        <v>1957.89</v>
      </c>
      <c r="T201" s="935">
        <v>2026.51</v>
      </c>
      <c r="U201" s="935">
        <v>2098.7800000000002</v>
      </c>
      <c r="V201" s="935">
        <v>2176.1999999999998</v>
      </c>
      <c r="W201" s="935">
        <v>2260.73</v>
      </c>
      <c r="X201" s="935">
        <v>2348.7600000000002</v>
      </c>
      <c r="Y201" s="935">
        <v>2438.06</v>
      </c>
      <c r="Z201" s="935">
        <v>2531.5</v>
      </c>
      <c r="AA201" s="935">
        <v>2627.51</v>
      </c>
      <c r="AB201" s="935">
        <v>2721.14</v>
      </c>
      <c r="AC201" s="935">
        <v>2818.06</v>
      </c>
      <c r="AD201" s="935">
        <v>2919.72</v>
      </c>
      <c r="AE201" s="974">
        <v>2.8000000000000001E-2</v>
      </c>
      <c r="AF201" s="935"/>
      <c r="AG201" s="935"/>
      <c r="AH201" s="935"/>
      <c r="AI201" s="935"/>
      <c r="AJ201" s="935"/>
      <c r="AK201" s="935"/>
      <c r="AL201" s="935"/>
      <c r="AM201" s="935"/>
      <c r="AN201" s="935"/>
      <c r="AO201" s="935"/>
      <c r="AP201" s="935"/>
      <c r="AQ201" s="935"/>
      <c r="AR201" s="935"/>
      <c r="AS201" s="935"/>
      <c r="AT201" s="935"/>
      <c r="AU201" s="935"/>
      <c r="AV201" s="935"/>
      <c r="AW201" s="935"/>
      <c r="AX201" s="935"/>
      <c r="AY201" s="935"/>
      <c r="AZ201" s="935"/>
      <c r="BA201" s="935"/>
      <c r="BB201" s="935"/>
      <c r="BC201" s="935"/>
      <c r="BD201" s="935"/>
      <c r="BE201" s="935"/>
      <c r="BF201" s="935"/>
      <c r="BG201" s="935"/>
      <c r="BH201" s="935"/>
      <c r="BI201" s="935"/>
      <c r="BJ201" s="935"/>
      <c r="BK201" s="935"/>
      <c r="BL201" s="935"/>
      <c r="BM201" s="935"/>
      <c r="BN201" s="935"/>
      <c r="BO201" s="935"/>
      <c r="BP201" s="935"/>
      <c r="BQ201" s="935"/>
      <c r="BR201" s="935"/>
      <c r="BS201" s="935"/>
      <c r="BT201" s="935"/>
    </row>
    <row r="202" spans="1:72" x14ac:dyDescent="0.25">
      <c r="A202" s="935" t="s">
        <v>629</v>
      </c>
      <c r="B202" s="935">
        <v>0.04</v>
      </c>
      <c r="C202" s="935">
        <v>0.17</v>
      </c>
      <c r="D202" s="935">
        <v>0.04</v>
      </c>
      <c r="E202" s="935">
        <v>0.09</v>
      </c>
      <c r="F202" s="935">
        <v>0.11</v>
      </c>
      <c r="G202" s="935">
        <v>0.13</v>
      </c>
      <c r="H202" s="935">
        <v>0.16</v>
      </c>
      <c r="I202" s="935">
        <v>0.18</v>
      </c>
      <c r="J202" s="935">
        <v>0.24</v>
      </c>
      <c r="K202" s="935">
        <v>2.65</v>
      </c>
      <c r="L202" s="935">
        <v>3.64</v>
      </c>
      <c r="M202" s="935">
        <v>4.71</v>
      </c>
      <c r="N202" s="935">
        <v>6.36</v>
      </c>
      <c r="O202" s="935">
        <v>8.6999999999999993</v>
      </c>
      <c r="P202" s="935">
        <v>11.96</v>
      </c>
      <c r="Q202" s="935">
        <v>22.18</v>
      </c>
      <c r="R202" s="935">
        <v>20.28</v>
      </c>
      <c r="S202" s="935">
        <v>19.329999999999998</v>
      </c>
      <c r="T202" s="935">
        <v>20.440000000000001</v>
      </c>
      <c r="U202" s="935">
        <v>23.52</v>
      </c>
      <c r="V202" s="935">
        <v>26.81</v>
      </c>
      <c r="W202" s="935">
        <v>29.72</v>
      </c>
      <c r="X202" s="935">
        <v>34.94</v>
      </c>
      <c r="Y202" s="935">
        <v>37.81</v>
      </c>
      <c r="Z202" s="935">
        <v>49.23</v>
      </c>
      <c r="AA202" s="935">
        <v>57.96</v>
      </c>
      <c r="AB202" s="935">
        <v>65.66</v>
      </c>
      <c r="AC202" s="935">
        <v>79.569999999999993</v>
      </c>
      <c r="AD202" s="935">
        <v>94.81</v>
      </c>
      <c r="AE202" s="974">
        <v>0.26500000000000001</v>
      </c>
      <c r="AF202" s="935"/>
      <c r="AG202" s="935"/>
      <c r="AH202" s="935"/>
      <c r="AI202" s="935"/>
      <c r="AJ202" s="935"/>
      <c r="AK202" s="935"/>
      <c r="AL202" s="935"/>
      <c r="AM202" s="935"/>
      <c r="AN202" s="935"/>
      <c r="AO202" s="935"/>
      <c r="AP202" s="935"/>
      <c r="AQ202" s="935"/>
      <c r="AR202" s="935"/>
      <c r="AS202" s="935"/>
      <c r="AT202" s="935"/>
      <c r="AU202" s="935"/>
      <c r="AV202" s="935"/>
      <c r="AW202" s="935"/>
      <c r="AX202" s="935"/>
      <c r="AY202" s="935"/>
      <c r="AZ202" s="935"/>
      <c r="BA202" s="935"/>
      <c r="BB202" s="935"/>
      <c r="BC202" s="935"/>
      <c r="BD202" s="935"/>
      <c r="BE202" s="935"/>
      <c r="BF202" s="935"/>
      <c r="BG202" s="935"/>
      <c r="BH202" s="935"/>
      <c r="BI202" s="935"/>
      <c r="BJ202" s="935"/>
      <c r="BK202" s="935"/>
      <c r="BL202" s="935"/>
      <c r="BM202" s="935"/>
      <c r="BN202" s="935"/>
      <c r="BO202" s="935"/>
      <c r="BP202" s="935"/>
      <c r="BQ202" s="935"/>
      <c r="BR202" s="935"/>
      <c r="BS202" s="935"/>
      <c r="BT202" s="935"/>
    </row>
    <row r="203" spans="1:72" x14ac:dyDescent="0.25">
      <c r="A203" s="935" t="s">
        <v>518</v>
      </c>
      <c r="B203" s="935">
        <v>1224</v>
      </c>
      <c r="C203" s="935">
        <v>1396.69</v>
      </c>
      <c r="D203" s="935">
        <v>1057.33</v>
      </c>
      <c r="E203" s="935">
        <v>1090.67</v>
      </c>
      <c r="F203" s="935">
        <v>1135.8699999999999</v>
      </c>
      <c r="G203" s="935">
        <v>1230.3800000000001</v>
      </c>
      <c r="H203" s="935">
        <v>1314.36</v>
      </c>
      <c r="I203" s="935">
        <v>1372.05</v>
      </c>
      <c r="J203" s="935">
        <v>1422.95</v>
      </c>
      <c r="K203" s="935">
        <v>1484.22</v>
      </c>
      <c r="L203" s="935">
        <v>1545.2</v>
      </c>
      <c r="M203" s="935">
        <v>1603.16</v>
      </c>
      <c r="N203" s="935">
        <v>1659.22</v>
      </c>
      <c r="O203" s="935">
        <v>1723.24</v>
      </c>
      <c r="P203" s="935">
        <v>1782.8</v>
      </c>
      <c r="Q203" s="935">
        <v>1849.44</v>
      </c>
      <c r="R203" s="935">
        <v>1915.09</v>
      </c>
      <c r="S203" s="935">
        <v>1977.22</v>
      </c>
      <c r="T203" s="935">
        <v>2046.94</v>
      </c>
      <c r="U203" s="935">
        <v>2122.3000000000002</v>
      </c>
      <c r="V203" s="935">
        <v>2203.0100000000002</v>
      </c>
      <c r="W203" s="935">
        <v>2290.46</v>
      </c>
      <c r="X203" s="935">
        <v>2383.6999999999998</v>
      </c>
      <c r="Y203" s="935">
        <v>2475.87</v>
      </c>
      <c r="Z203" s="935">
        <v>2580.73</v>
      </c>
      <c r="AA203" s="935">
        <v>2685.47</v>
      </c>
      <c r="AB203" s="935">
        <v>2786.79</v>
      </c>
      <c r="AC203" s="935">
        <v>2897.63</v>
      </c>
      <c r="AD203" s="935">
        <v>3014.53</v>
      </c>
      <c r="AE203" s="974">
        <v>2.9000000000000001E-2</v>
      </c>
      <c r="AF203" s="935"/>
      <c r="AG203" s="935"/>
      <c r="AH203" s="935"/>
      <c r="AI203" s="935"/>
      <c r="AJ203" s="935"/>
      <c r="AK203" s="935"/>
      <c r="AL203" s="935"/>
      <c r="AM203" s="935"/>
      <c r="AN203" s="935"/>
      <c r="AO203" s="935"/>
      <c r="AP203" s="935"/>
      <c r="AQ203" s="935"/>
      <c r="AR203" s="935"/>
      <c r="AS203" s="935"/>
      <c r="AT203" s="935"/>
      <c r="AU203" s="935"/>
      <c r="AV203" s="935"/>
      <c r="AW203" s="935"/>
      <c r="AX203" s="935"/>
      <c r="AY203" s="935"/>
      <c r="AZ203" s="935"/>
      <c r="BA203" s="935"/>
      <c r="BB203" s="935"/>
      <c r="BC203" s="935"/>
      <c r="BD203" s="935"/>
      <c r="BE203" s="935"/>
      <c r="BF203" s="935"/>
      <c r="BG203" s="935"/>
      <c r="BH203" s="935"/>
      <c r="BI203" s="935"/>
      <c r="BJ203" s="935"/>
      <c r="BK203" s="935"/>
      <c r="BL203" s="935"/>
      <c r="BM203" s="935"/>
      <c r="BN203" s="935"/>
      <c r="BO203" s="935"/>
      <c r="BP203" s="935"/>
      <c r="BQ203" s="935"/>
      <c r="BR203" s="935"/>
      <c r="BS203" s="935"/>
      <c r="BT203" s="935"/>
    </row>
    <row r="204" spans="1:72" x14ac:dyDescent="0.25">
      <c r="A204" s="935"/>
      <c r="B204" s="935"/>
      <c r="C204" s="935"/>
      <c r="D204" s="935"/>
      <c r="E204" s="935"/>
      <c r="F204" s="935"/>
      <c r="G204" s="935"/>
      <c r="H204" s="935"/>
      <c r="I204" s="935"/>
      <c r="J204" s="935"/>
      <c r="K204" s="935"/>
      <c r="L204" s="935"/>
      <c r="M204" s="935"/>
      <c r="N204" s="935"/>
      <c r="O204" s="935"/>
      <c r="P204" s="935"/>
      <c r="Q204" s="935"/>
      <c r="R204" s="935"/>
      <c r="S204" s="935"/>
      <c r="T204" s="935"/>
      <c r="U204" s="935"/>
      <c r="V204" s="935"/>
      <c r="W204" s="935"/>
      <c r="X204" s="935"/>
      <c r="Y204" s="935"/>
      <c r="Z204" s="935"/>
      <c r="AA204" s="935"/>
      <c r="AB204" s="935"/>
      <c r="AC204" s="935"/>
      <c r="AD204" s="935"/>
      <c r="AE204" s="935"/>
      <c r="AF204" s="935"/>
      <c r="AG204" s="935"/>
      <c r="AH204" s="935"/>
      <c r="AI204" s="935"/>
      <c r="AJ204" s="935"/>
      <c r="AK204" s="935"/>
      <c r="AL204" s="935"/>
      <c r="AM204" s="935"/>
      <c r="AN204" s="935"/>
      <c r="AO204" s="935"/>
      <c r="AP204" s="935"/>
      <c r="AQ204" s="935"/>
      <c r="AR204" s="935"/>
      <c r="AS204" s="935"/>
      <c r="AT204" s="935"/>
      <c r="AU204" s="935"/>
      <c r="AV204" s="935"/>
      <c r="AW204" s="935"/>
      <c r="AX204" s="935"/>
      <c r="AY204" s="935"/>
      <c r="AZ204" s="935"/>
      <c r="BA204" s="935"/>
      <c r="BB204" s="935"/>
      <c r="BC204" s="935"/>
      <c r="BD204" s="935"/>
      <c r="BE204" s="935"/>
      <c r="BF204" s="935"/>
      <c r="BG204" s="935"/>
      <c r="BH204" s="935"/>
      <c r="BI204" s="935"/>
      <c r="BJ204" s="935"/>
      <c r="BK204" s="935"/>
      <c r="BL204" s="935"/>
      <c r="BM204" s="935"/>
      <c r="BN204" s="935"/>
      <c r="BO204" s="935"/>
      <c r="BP204" s="935"/>
      <c r="BQ204" s="935"/>
      <c r="BR204" s="935"/>
      <c r="BS204" s="935"/>
      <c r="BT204" s="935"/>
    </row>
    <row r="205" spans="1:72" x14ac:dyDescent="0.25">
      <c r="A205" s="935"/>
      <c r="B205" s="935"/>
      <c r="C205" s="935"/>
      <c r="D205" s="935"/>
      <c r="E205" s="935"/>
      <c r="F205" s="935"/>
      <c r="G205" s="935"/>
      <c r="H205" s="935"/>
      <c r="I205" s="935"/>
      <c r="J205" s="935"/>
      <c r="K205" s="935"/>
      <c r="L205" s="935"/>
      <c r="M205" s="935"/>
      <c r="N205" s="935"/>
      <c r="O205" s="935"/>
      <c r="P205" s="935"/>
      <c r="Q205" s="935"/>
      <c r="R205" s="935"/>
      <c r="S205" s="935"/>
      <c r="T205" s="935"/>
      <c r="U205" s="935"/>
      <c r="V205" s="935"/>
      <c r="W205" s="935"/>
      <c r="X205" s="935"/>
      <c r="Y205" s="935"/>
      <c r="Z205" s="935"/>
      <c r="AA205" s="935"/>
      <c r="AB205" s="935"/>
      <c r="AC205" s="935"/>
      <c r="AD205" s="935"/>
      <c r="AE205" s="935"/>
      <c r="AF205" s="935"/>
      <c r="AG205" s="935"/>
      <c r="AH205" s="935"/>
      <c r="AI205" s="935"/>
      <c r="AJ205" s="935"/>
      <c r="AK205" s="935"/>
      <c r="AL205" s="935"/>
      <c r="AM205" s="935"/>
      <c r="AN205" s="935"/>
      <c r="AO205" s="935"/>
      <c r="AP205" s="935"/>
      <c r="AQ205" s="935"/>
      <c r="AR205" s="935"/>
      <c r="AS205" s="935"/>
      <c r="AT205" s="935"/>
      <c r="AU205" s="935"/>
      <c r="AV205" s="935"/>
      <c r="AW205" s="935"/>
      <c r="AX205" s="935"/>
      <c r="AY205" s="935"/>
      <c r="AZ205" s="935"/>
      <c r="BA205" s="935"/>
      <c r="BB205" s="935"/>
      <c r="BC205" s="935"/>
      <c r="BD205" s="935"/>
      <c r="BE205" s="935"/>
      <c r="BF205" s="935"/>
      <c r="BG205" s="935"/>
      <c r="BH205" s="935"/>
      <c r="BI205" s="935"/>
      <c r="BJ205" s="935"/>
      <c r="BK205" s="935"/>
      <c r="BL205" s="935"/>
      <c r="BM205" s="935"/>
      <c r="BN205" s="935"/>
      <c r="BO205" s="935"/>
      <c r="BP205" s="935"/>
      <c r="BQ205" s="935"/>
      <c r="BR205" s="935"/>
      <c r="BS205" s="935"/>
      <c r="BT205" s="935"/>
    </row>
    <row r="206" spans="1:72" x14ac:dyDescent="0.25">
      <c r="A206" s="935"/>
      <c r="B206" s="935"/>
      <c r="C206" s="935"/>
      <c r="D206" s="935"/>
      <c r="E206" s="935"/>
      <c r="F206" s="935"/>
      <c r="G206" s="935"/>
      <c r="H206" s="935"/>
      <c r="I206" s="935"/>
      <c r="J206" s="935"/>
      <c r="K206" s="935"/>
      <c r="L206" s="935"/>
      <c r="M206" s="935"/>
      <c r="N206" s="935"/>
      <c r="O206" s="935"/>
      <c r="P206" s="935"/>
      <c r="Q206" s="935"/>
      <c r="R206" s="935"/>
      <c r="S206" s="935"/>
      <c r="T206" s="935"/>
      <c r="U206" s="935"/>
      <c r="V206" s="935"/>
      <c r="W206" s="935"/>
      <c r="X206" s="935"/>
      <c r="Y206" s="935"/>
      <c r="Z206" s="935"/>
      <c r="AA206" s="935"/>
      <c r="AB206" s="935"/>
      <c r="AC206" s="935"/>
      <c r="AD206" s="935"/>
      <c r="AE206" s="935"/>
      <c r="AF206" s="935"/>
      <c r="AG206" s="935"/>
      <c r="AH206" s="935"/>
      <c r="AI206" s="935"/>
      <c r="AJ206" s="935"/>
      <c r="AK206" s="935"/>
      <c r="AL206" s="935"/>
      <c r="AM206" s="935"/>
      <c r="AN206" s="935"/>
      <c r="AO206" s="935"/>
      <c r="AP206" s="935"/>
      <c r="AQ206" s="935"/>
      <c r="AR206" s="935"/>
      <c r="AS206" s="935"/>
      <c r="AT206" s="935"/>
      <c r="AU206" s="935"/>
      <c r="AV206" s="935"/>
      <c r="AW206" s="935"/>
      <c r="AX206" s="935"/>
      <c r="AY206" s="935"/>
      <c r="AZ206" s="935"/>
      <c r="BA206" s="935"/>
      <c r="BB206" s="935"/>
      <c r="BC206" s="935"/>
      <c r="BD206" s="935"/>
      <c r="BE206" s="935"/>
      <c r="BF206" s="935"/>
      <c r="BG206" s="935"/>
      <c r="BH206" s="935"/>
      <c r="BI206" s="935"/>
      <c r="BJ206" s="935"/>
      <c r="BK206" s="935"/>
      <c r="BL206" s="935"/>
      <c r="BM206" s="935"/>
      <c r="BN206" s="935"/>
      <c r="BO206" s="935"/>
      <c r="BP206" s="935"/>
      <c r="BQ206" s="935"/>
      <c r="BR206" s="935"/>
      <c r="BS206" s="935"/>
      <c r="BT206" s="935"/>
    </row>
    <row r="207" spans="1:72" x14ac:dyDescent="0.25">
      <c r="A207" s="935" t="s">
        <v>630</v>
      </c>
      <c r="B207" s="935"/>
      <c r="C207" s="935"/>
      <c r="D207" s="935"/>
      <c r="E207" s="935"/>
      <c r="F207" s="935"/>
      <c r="G207" s="935"/>
      <c r="H207" s="935"/>
      <c r="I207" s="935"/>
      <c r="J207" s="935"/>
      <c r="K207" s="935"/>
      <c r="L207" s="935"/>
      <c r="M207" s="935"/>
      <c r="N207" s="935"/>
      <c r="O207" s="935"/>
      <c r="P207" s="935"/>
      <c r="Q207" s="935"/>
      <c r="R207" s="935"/>
      <c r="S207" s="935"/>
      <c r="T207" s="935"/>
      <c r="U207" s="935"/>
      <c r="V207" s="935"/>
      <c r="W207" s="935"/>
      <c r="X207" s="935"/>
      <c r="Y207" s="935"/>
      <c r="Z207" s="935"/>
      <c r="AA207" s="935"/>
      <c r="AB207" s="935"/>
      <c r="AC207" s="935"/>
      <c r="AD207" s="935"/>
      <c r="AE207" s="935"/>
      <c r="AF207" s="935"/>
      <c r="AG207" s="935"/>
      <c r="AH207" s="935"/>
      <c r="AI207" s="935"/>
      <c r="AJ207" s="935"/>
      <c r="AK207" s="935"/>
      <c r="AL207" s="935"/>
      <c r="AM207" s="935"/>
      <c r="AN207" s="935"/>
      <c r="AO207" s="935"/>
      <c r="AP207" s="935"/>
      <c r="AQ207" s="935"/>
      <c r="AR207" s="935"/>
      <c r="AS207" s="935"/>
      <c r="AT207" s="935"/>
      <c r="AU207" s="935"/>
      <c r="AV207" s="935"/>
      <c r="AW207" s="935"/>
      <c r="AX207" s="935"/>
      <c r="AY207" s="935"/>
      <c r="AZ207" s="935"/>
      <c r="BA207" s="935"/>
      <c r="BB207" s="935"/>
      <c r="BC207" s="935"/>
      <c r="BD207" s="935"/>
      <c r="BE207" s="935"/>
      <c r="BF207" s="935"/>
      <c r="BG207" s="935"/>
      <c r="BH207" s="935"/>
      <c r="BI207" s="935"/>
      <c r="BJ207" s="935"/>
      <c r="BK207" s="935"/>
      <c r="BL207" s="935"/>
      <c r="BM207" s="935"/>
      <c r="BN207" s="935"/>
      <c r="BO207" s="935"/>
      <c r="BP207" s="935"/>
      <c r="BQ207" s="935"/>
      <c r="BR207" s="935"/>
      <c r="BS207" s="935"/>
      <c r="BT207" s="935"/>
    </row>
    <row r="208" spans="1:72" x14ac:dyDescent="0.25">
      <c r="A208" s="935" t="s">
        <v>631</v>
      </c>
      <c r="B208" s="935"/>
      <c r="C208" s="935"/>
      <c r="D208" s="935"/>
      <c r="E208" s="935"/>
      <c r="F208" s="935"/>
      <c r="G208" s="935"/>
      <c r="H208" s="935"/>
      <c r="I208" s="935"/>
      <c r="J208" s="935"/>
      <c r="K208" s="935"/>
      <c r="L208" s="935"/>
      <c r="M208" s="935"/>
      <c r="N208" s="935"/>
      <c r="O208" s="935"/>
      <c r="P208" s="935"/>
      <c r="Q208" s="935"/>
      <c r="R208" s="935"/>
      <c r="S208" s="935"/>
      <c r="T208" s="935"/>
      <c r="U208" s="935"/>
      <c r="V208" s="935"/>
      <c r="W208" s="935"/>
      <c r="X208" s="935"/>
      <c r="Y208" s="935"/>
      <c r="Z208" s="935"/>
      <c r="AA208" s="935"/>
      <c r="AB208" s="935"/>
      <c r="AC208" s="935"/>
      <c r="AD208" s="935"/>
      <c r="AE208" s="935"/>
      <c r="AF208" s="935"/>
      <c r="AG208" s="935"/>
      <c r="AH208" s="935"/>
      <c r="AI208" s="935"/>
      <c r="AJ208" s="935"/>
      <c r="AK208" s="935"/>
      <c r="AL208" s="935"/>
      <c r="AM208" s="935"/>
      <c r="AN208" s="935"/>
      <c r="AO208" s="935"/>
      <c r="AP208" s="935"/>
      <c r="AQ208" s="935"/>
      <c r="AR208" s="935"/>
      <c r="AS208" s="935"/>
      <c r="AT208" s="935"/>
      <c r="AU208" s="935"/>
      <c r="AV208" s="935"/>
      <c r="AW208" s="935"/>
      <c r="AX208" s="935"/>
      <c r="AY208" s="935"/>
      <c r="AZ208" s="935"/>
      <c r="BA208" s="935"/>
      <c r="BB208" s="935"/>
      <c r="BC208" s="935"/>
      <c r="BD208" s="935"/>
      <c r="BE208" s="935"/>
      <c r="BF208" s="935"/>
      <c r="BG208" s="935"/>
      <c r="BH208" s="935"/>
      <c r="BI208" s="935"/>
      <c r="BJ208" s="935"/>
      <c r="BK208" s="935"/>
      <c r="BL208" s="935"/>
      <c r="BM208" s="935"/>
      <c r="BN208" s="935"/>
      <c r="BO208" s="935"/>
      <c r="BP208" s="935"/>
      <c r="BQ208" s="935"/>
      <c r="BR208" s="935"/>
      <c r="BS208" s="935"/>
      <c r="BT208" s="935"/>
    </row>
    <row r="209" spans="1:72" x14ac:dyDescent="0.25">
      <c r="A209" s="935" t="s">
        <v>632</v>
      </c>
      <c r="B209" s="935"/>
      <c r="C209" s="935"/>
      <c r="D209" s="935"/>
      <c r="E209" s="935"/>
      <c r="F209" s="935"/>
      <c r="G209" s="935"/>
      <c r="H209" s="935"/>
      <c r="I209" s="935"/>
      <c r="J209" s="935"/>
      <c r="K209" s="935"/>
      <c r="L209" s="935"/>
      <c r="M209" s="935"/>
      <c r="N209" s="935"/>
      <c r="O209" s="935"/>
      <c r="P209" s="935"/>
      <c r="Q209" s="935"/>
      <c r="R209" s="935"/>
      <c r="S209" s="935"/>
      <c r="T209" s="935"/>
      <c r="U209" s="935"/>
      <c r="V209" s="935"/>
      <c r="W209" s="935"/>
      <c r="X209" s="935"/>
      <c r="Y209" s="935"/>
      <c r="Z209" s="935"/>
      <c r="AA209" s="935"/>
      <c r="AB209" s="935"/>
      <c r="AC209" s="935"/>
      <c r="AD209" s="935"/>
      <c r="AE209" s="935"/>
      <c r="AF209" s="935"/>
      <c r="AG209" s="935"/>
      <c r="AH209" s="935"/>
      <c r="AI209" s="935"/>
      <c r="AJ209" s="935"/>
      <c r="AK209" s="935"/>
      <c r="AL209" s="935"/>
      <c r="AM209" s="935"/>
      <c r="AN209" s="935"/>
      <c r="AO209" s="935"/>
      <c r="AP209" s="935"/>
      <c r="AQ209" s="935"/>
      <c r="AR209" s="935"/>
      <c r="AS209" s="935"/>
      <c r="AT209" s="935"/>
      <c r="AU209" s="935"/>
      <c r="AV209" s="935"/>
      <c r="AW209" s="935"/>
      <c r="AX209" s="935"/>
      <c r="AY209" s="935"/>
      <c r="AZ209" s="935"/>
      <c r="BA209" s="935"/>
      <c r="BB209" s="935"/>
      <c r="BC209" s="935"/>
      <c r="BD209" s="935"/>
      <c r="BE209" s="935"/>
      <c r="BF209" s="935"/>
      <c r="BG209" s="935"/>
      <c r="BH209" s="935"/>
      <c r="BI209" s="935"/>
      <c r="BJ209" s="935"/>
      <c r="BK209" s="935"/>
      <c r="BL209" s="935"/>
      <c r="BM209" s="935"/>
      <c r="BN209" s="935"/>
      <c r="BO209" s="935"/>
      <c r="BP209" s="935"/>
      <c r="BQ209" s="935"/>
      <c r="BR209" s="935"/>
      <c r="BS209" s="935"/>
      <c r="BT209" s="935"/>
    </row>
    <row r="210" spans="1:72" x14ac:dyDescent="0.25">
      <c r="A210" s="935" t="s">
        <v>790</v>
      </c>
      <c r="B210" s="935"/>
      <c r="C210" s="935"/>
      <c r="D210" s="935"/>
      <c r="E210" s="935"/>
      <c r="F210" s="935"/>
      <c r="G210" s="935"/>
      <c r="H210" s="935"/>
      <c r="I210" s="935"/>
      <c r="J210" s="935"/>
      <c r="K210" s="935"/>
      <c r="L210" s="935"/>
      <c r="M210" s="935"/>
      <c r="N210" s="935"/>
      <c r="O210" s="935"/>
      <c r="P210" s="935"/>
      <c r="Q210" s="935"/>
      <c r="R210" s="935"/>
      <c r="S210" s="935"/>
      <c r="T210" s="935"/>
      <c r="U210" s="935"/>
      <c r="V210" s="935"/>
      <c r="W210" s="935"/>
      <c r="X210" s="935"/>
      <c r="Y210" s="935"/>
      <c r="Z210" s="935"/>
      <c r="AA210" s="935"/>
      <c r="AB210" s="935"/>
      <c r="AC210" s="935"/>
      <c r="AD210" s="935"/>
      <c r="AE210" s="935"/>
      <c r="AF210" s="935"/>
      <c r="AG210" s="935"/>
      <c r="AH210" s="935"/>
      <c r="AI210" s="935"/>
      <c r="AJ210" s="935"/>
      <c r="AK210" s="935"/>
      <c r="AL210" s="935"/>
      <c r="AM210" s="935"/>
      <c r="AN210" s="935"/>
      <c r="AO210" s="935"/>
      <c r="AP210" s="935"/>
      <c r="AQ210" s="935"/>
      <c r="AR210" s="935"/>
      <c r="AS210" s="935"/>
      <c r="AT210" s="935"/>
      <c r="AU210" s="935"/>
      <c r="AV210" s="935"/>
      <c r="AW210" s="935"/>
      <c r="AX210" s="935"/>
      <c r="AY210" s="935"/>
      <c r="AZ210" s="935"/>
      <c r="BA210" s="935"/>
      <c r="BB210" s="935"/>
      <c r="BC210" s="935"/>
      <c r="BD210" s="935"/>
      <c r="BE210" s="935"/>
      <c r="BF210" s="935"/>
      <c r="BG210" s="935"/>
      <c r="BH210" s="935"/>
      <c r="BI210" s="935"/>
      <c r="BJ210" s="935"/>
      <c r="BK210" s="935"/>
      <c r="BL210" s="935"/>
      <c r="BM210" s="935"/>
      <c r="BN210" s="935"/>
      <c r="BO210" s="935"/>
      <c r="BP210" s="935"/>
      <c r="BQ210" s="935"/>
      <c r="BR210" s="935"/>
      <c r="BS210" s="935"/>
      <c r="BT210" s="935"/>
    </row>
    <row r="211" spans="1:72" x14ac:dyDescent="0.25">
      <c r="A211" s="935" t="s">
        <v>791</v>
      </c>
      <c r="B211" s="935"/>
      <c r="C211" s="935"/>
      <c r="D211" s="935"/>
      <c r="E211" s="935"/>
      <c r="F211" s="935"/>
      <c r="G211" s="935"/>
      <c r="H211" s="935"/>
      <c r="I211" s="935"/>
      <c r="J211" s="935"/>
      <c r="K211" s="935"/>
      <c r="L211" s="935"/>
      <c r="M211" s="935"/>
      <c r="N211" s="935"/>
      <c r="O211" s="935"/>
      <c r="P211" s="935"/>
      <c r="Q211" s="935"/>
      <c r="R211" s="935"/>
      <c r="S211" s="935"/>
      <c r="T211" s="935"/>
      <c r="U211" s="935"/>
      <c r="V211" s="935"/>
      <c r="W211" s="935"/>
      <c r="X211" s="935"/>
      <c r="Y211" s="935"/>
      <c r="Z211" s="935"/>
      <c r="AA211" s="935"/>
      <c r="AB211" s="935"/>
      <c r="AC211" s="935"/>
      <c r="AD211" s="935"/>
      <c r="AE211" s="935"/>
      <c r="AF211" s="935"/>
      <c r="AG211" s="935"/>
      <c r="AH211" s="935"/>
      <c r="AI211" s="935"/>
      <c r="AJ211" s="935"/>
      <c r="AK211" s="935"/>
      <c r="AL211" s="935"/>
      <c r="AM211" s="935"/>
      <c r="AN211" s="935"/>
      <c r="AO211" s="935"/>
      <c r="AP211" s="935"/>
      <c r="AQ211" s="935"/>
      <c r="AR211" s="935"/>
      <c r="AS211" s="935"/>
      <c r="AT211" s="935"/>
      <c r="AU211" s="935"/>
      <c r="AV211" s="935"/>
      <c r="AW211" s="935"/>
      <c r="AX211" s="935"/>
      <c r="AY211" s="935"/>
      <c r="AZ211" s="935"/>
      <c r="BA211" s="935"/>
      <c r="BB211" s="935"/>
      <c r="BC211" s="935"/>
      <c r="BD211" s="935"/>
      <c r="BE211" s="935"/>
      <c r="BF211" s="935"/>
      <c r="BG211" s="935"/>
      <c r="BH211" s="935"/>
      <c r="BI211" s="935"/>
      <c r="BJ211" s="935"/>
      <c r="BK211" s="935"/>
      <c r="BL211" s="935"/>
      <c r="BM211" s="935"/>
      <c r="BN211" s="935"/>
      <c r="BO211" s="935"/>
      <c r="BP211" s="935"/>
      <c r="BQ211" s="935"/>
      <c r="BR211" s="935"/>
      <c r="BS211" s="935"/>
      <c r="BT211" s="935"/>
    </row>
    <row r="212" spans="1:72" x14ac:dyDescent="0.25">
      <c r="A212" s="935" t="s">
        <v>649</v>
      </c>
      <c r="B212" s="935"/>
      <c r="C212" s="935"/>
      <c r="D212" s="935"/>
      <c r="E212" s="935"/>
      <c r="F212" s="935"/>
      <c r="G212" s="935"/>
      <c r="H212" s="935"/>
      <c r="I212" s="935"/>
      <c r="J212" s="935"/>
      <c r="K212" s="935"/>
      <c r="L212" s="935"/>
      <c r="M212" s="935"/>
      <c r="N212" s="935"/>
      <c r="O212" s="935"/>
      <c r="P212" s="935"/>
      <c r="Q212" s="935"/>
      <c r="R212" s="935"/>
      <c r="S212" s="935"/>
      <c r="T212" s="935"/>
      <c r="U212" s="935"/>
      <c r="V212" s="935"/>
      <c r="W212" s="935"/>
      <c r="X212" s="935"/>
      <c r="Y212" s="935"/>
      <c r="Z212" s="935"/>
      <c r="AA212" s="935"/>
      <c r="AB212" s="935"/>
      <c r="AC212" s="935"/>
      <c r="AD212" s="935"/>
      <c r="AE212" s="935"/>
      <c r="AF212" s="935"/>
      <c r="AG212" s="935"/>
      <c r="AH212" s="935"/>
      <c r="AI212" s="935"/>
      <c r="AJ212" s="935"/>
      <c r="AK212" s="935"/>
      <c r="AL212" s="935"/>
      <c r="AM212" s="935"/>
      <c r="AN212" s="935"/>
      <c r="AO212" s="935"/>
      <c r="AP212" s="935"/>
      <c r="AQ212" s="935"/>
      <c r="AR212" s="935"/>
      <c r="AS212" s="935"/>
      <c r="AT212" s="935"/>
      <c r="AU212" s="935"/>
      <c r="AV212" s="935"/>
      <c r="AW212" s="935"/>
      <c r="AX212" s="935"/>
      <c r="AY212" s="935"/>
      <c r="AZ212" s="935"/>
      <c r="BA212" s="935"/>
      <c r="BB212" s="935"/>
      <c r="BC212" s="935"/>
      <c r="BD212" s="935"/>
      <c r="BE212" s="935"/>
      <c r="BF212" s="935"/>
      <c r="BG212" s="935"/>
      <c r="BH212" s="935"/>
      <c r="BI212" s="935"/>
      <c r="BJ212" s="935"/>
      <c r="BK212" s="935"/>
      <c r="BL212" s="935"/>
      <c r="BM212" s="935"/>
      <c r="BN212" s="935"/>
      <c r="BO212" s="935"/>
      <c r="BP212" s="935"/>
      <c r="BQ212" s="935"/>
      <c r="BR212" s="935"/>
      <c r="BS212" s="935"/>
      <c r="BT212" s="935"/>
    </row>
    <row r="213" spans="1:72" x14ac:dyDescent="0.25">
      <c r="A213" s="935" t="s">
        <v>650</v>
      </c>
      <c r="B213" s="935"/>
      <c r="C213" s="935"/>
      <c r="D213" s="935"/>
      <c r="E213" s="935"/>
      <c r="F213" s="935"/>
      <c r="G213" s="935"/>
      <c r="H213" s="935"/>
      <c r="I213" s="935"/>
      <c r="J213" s="935"/>
      <c r="K213" s="935"/>
      <c r="L213" s="935"/>
      <c r="M213" s="935"/>
      <c r="N213" s="935"/>
      <c r="O213" s="935"/>
      <c r="P213" s="935"/>
      <c r="Q213" s="935"/>
      <c r="R213" s="935"/>
      <c r="S213" s="935"/>
      <c r="T213" s="935"/>
      <c r="U213" s="935"/>
      <c r="V213" s="935"/>
      <c r="W213" s="935"/>
      <c r="X213" s="935"/>
      <c r="Y213" s="935"/>
      <c r="Z213" s="935"/>
      <c r="AA213" s="935"/>
      <c r="AB213" s="935"/>
      <c r="AC213" s="935"/>
      <c r="AD213" s="935"/>
      <c r="AE213" s="935"/>
      <c r="AF213" s="935"/>
      <c r="AG213" s="935"/>
      <c r="AH213" s="935"/>
      <c r="AI213" s="935"/>
      <c r="AJ213" s="935"/>
      <c r="AK213" s="935"/>
      <c r="AL213" s="935"/>
      <c r="AM213" s="935"/>
      <c r="AN213" s="935"/>
      <c r="AO213" s="935"/>
      <c r="AP213" s="935"/>
      <c r="AQ213" s="935"/>
      <c r="AR213" s="935"/>
      <c r="AS213" s="935"/>
      <c r="AT213" s="935"/>
      <c r="AU213" s="935"/>
      <c r="AV213" s="935"/>
      <c r="AW213" s="935"/>
      <c r="AX213" s="935"/>
      <c r="AY213" s="935"/>
      <c r="AZ213" s="935"/>
      <c r="BA213" s="935"/>
      <c r="BB213" s="935"/>
      <c r="BC213" s="935"/>
      <c r="BD213" s="935"/>
      <c r="BE213" s="935"/>
      <c r="BF213" s="935"/>
      <c r="BG213" s="935"/>
      <c r="BH213" s="935"/>
      <c r="BI213" s="935"/>
      <c r="BJ213" s="935"/>
      <c r="BK213" s="935"/>
      <c r="BL213" s="935"/>
      <c r="BM213" s="935"/>
      <c r="BN213" s="935"/>
      <c r="BO213" s="935"/>
      <c r="BP213" s="935"/>
      <c r="BQ213" s="935"/>
      <c r="BR213" s="935"/>
      <c r="BS213" s="935"/>
      <c r="BT213" s="935"/>
    </row>
    <row r="214" spans="1:72" x14ac:dyDescent="0.25">
      <c r="A214" s="935" t="s">
        <v>651</v>
      </c>
      <c r="B214" s="935"/>
      <c r="C214" s="935"/>
      <c r="D214" s="935"/>
      <c r="E214" s="935"/>
      <c r="F214" s="935"/>
      <c r="G214" s="935"/>
      <c r="H214" s="935"/>
      <c r="I214" s="935"/>
      <c r="J214" s="935"/>
      <c r="K214" s="935"/>
      <c r="L214" s="935"/>
      <c r="M214" s="935"/>
      <c r="N214" s="935"/>
      <c r="O214" s="935"/>
      <c r="P214" s="935"/>
      <c r="Q214" s="935"/>
      <c r="R214" s="935"/>
      <c r="S214" s="935"/>
      <c r="T214" s="935"/>
      <c r="U214" s="935"/>
      <c r="V214" s="935"/>
      <c r="W214" s="935"/>
      <c r="X214" s="935"/>
      <c r="Y214" s="935"/>
      <c r="Z214" s="935"/>
      <c r="AA214" s="935"/>
      <c r="AB214" s="935"/>
      <c r="AC214" s="935"/>
      <c r="AD214" s="935"/>
      <c r="AE214" s="935"/>
      <c r="AF214" s="935"/>
      <c r="AG214" s="935"/>
      <c r="AH214" s="935"/>
      <c r="AI214" s="935"/>
      <c r="AJ214" s="935"/>
      <c r="AK214" s="935"/>
      <c r="AL214" s="935"/>
      <c r="AM214" s="935"/>
      <c r="AN214" s="935"/>
      <c r="AO214" s="935"/>
      <c r="AP214" s="935"/>
      <c r="AQ214" s="935"/>
      <c r="AR214" s="935"/>
      <c r="AS214" s="935"/>
      <c r="AT214" s="935"/>
      <c r="AU214" s="935"/>
      <c r="AV214" s="935"/>
      <c r="AW214" s="935"/>
      <c r="AX214" s="935"/>
      <c r="AY214" s="935"/>
      <c r="AZ214" s="935"/>
      <c r="BA214" s="935"/>
      <c r="BB214" s="935"/>
      <c r="BC214" s="935"/>
      <c r="BD214" s="935"/>
      <c r="BE214" s="935"/>
      <c r="BF214" s="935"/>
      <c r="BG214" s="935"/>
      <c r="BH214" s="935"/>
      <c r="BI214" s="935"/>
      <c r="BJ214" s="935"/>
      <c r="BK214" s="935"/>
      <c r="BL214" s="935"/>
      <c r="BM214" s="935"/>
      <c r="BN214" s="935"/>
      <c r="BO214" s="935"/>
      <c r="BP214" s="935"/>
      <c r="BQ214" s="935"/>
      <c r="BR214" s="935"/>
      <c r="BS214" s="935"/>
      <c r="BT214" s="935"/>
    </row>
    <row r="215" spans="1:72" x14ac:dyDescent="0.25">
      <c r="A215" s="935" t="s">
        <v>652</v>
      </c>
      <c r="B215" s="935"/>
      <c r="C215" s="935"/>
      <c r="D215" s="935"/>
      <c r="E215" s="935"/>
      <c r="F215" s="935"/>
      <c r="G215" s="935"/>
      <c r="H215" s="935"/>
      <c r="I215" s="935"/>
      <c r="J215" s="935"/>
      <c r="K215" s="935"/>
      <c r="L215" s="935"/>
      <c r="M215" s="935"/>
      <c r="N215" s="935"/>
      <c r="O215" s="935"/>
      <c r="P215" s="935"/>
      <c r="Q215" s="935"/>
      <c r="R215" s="935"/>
      <c r="S215" s="935"/>
      <c r="T215" s="935"/>
      <c r="U215" s="935"/>
      <c r="V215" s="935"/>
      <c r="W215" s="935"/>
      <c r="X215" s="935"/>
      <c r="Y215" s="935"/>
      <c r="Z215" s="935"/>
      <c r="AA215" s="935"/>
      <c r="AB215" s="935"/>
      <c r="AC215" s="935"/>
      <c r="AD215" s="935"/>
      <c r="AE215" s="935"/>
      <c r="AF215" s="935"/>
      <c r="AG215" s="935"/>
      <c r="AH215" s="935"/>
      <c r="AI215" s="935"/>
      <c r="AJ215" s="935"/>
      <c r="AK215" s="935"/>
      <c r="AL215" s="935"/>
      <c r="AM215" s="935"/>
      <c r="AN215" s="935"/>
      <c r="AO215" s="935"/>
      <c r="AP215" s="935"/>
      <c r="AQ215" s="935"/>
      <c r="AR215" s="935"/>
      <c r="AS215" s="935"/>
      <c r="AT215" s="935"/>
      <c r="AU215" s="935"/>
      <c r="AV215" s="935"/>
      <c r="AW215" s="935"/>
      <c r="AX215" s="935"/>
      <c r="AY215" s="935"/>
      <c r="AZ215" s="935"/>
      <c r="BA215" s="935"/>
      <c r="BB215" s="935"/>
      <c r="BC215" s="935"/>
      <c r="BD215" s="935"/>
      <c r="BE215" s="935"/>
      <c r="BF215" s="935"/>
      <c r="BG215" s="935"/>
      <c r="BH215" s="935"/>
      <c r="BI215" s="935"/>
      <c r="BJ215" s="935"/>
      <c r="BK215" s="935"/>
      <c r="BL215" s="935"/>
      <c r="BM215" s="935"/>
      <c r="BN215" s="935"/>
      <c r="BO215" s="935"/>
      <c r="BP215" s="935"/>
      <c r="BQ215" s="935"/>
      <c r="BR215" s="935"/>
      <c r="BS215" s="935"/>
      <c r="BT215" s="935"/>
    </row>
    <row r="216" spans="1:72" x14ac:dyDescent="0.25">
      <c r="A216" s="935" t="s">
        <v>653</v>
      </c>
      <c r="B216" s="935"/>
      <c r="C216" s="935"/>
      <c r="D216" s="935"/>
      <c r="E216" s="935"/>
      <c r="F216" s="935"/>
      <c r="G216" s="935"/>
      <c r="H216" s="935"/>
      <c r="I216" s="935"/>
      <c r="J216" s="935"/>
      <c r="K216" s="935"/>
      <c r="L216" s="935"/>
      <c r="M216" s="935"/>
      <c r="N216" s="935"/>
      <c r="O216" s="935"/>
      <c r="P216" s="935"/>
      <c r="Q216" s="935"/>
      <c r="R216" s="935"/>
      <c r="S216" s="935"/>
      <c r="T216" s="935"/>
      <c r="U216" s="935"/>
      <c r="V216" s="935"/>
      <c r="W216" s="935"/>
      <c r="X216" s="935"/>
      <c r="Y216" s="935"/>
      <c r="Z216" s="935"/>
      <c r="AA216" s="935"/>
      <c r="AB216" s="935"/>
      <c r="AC216" s="935"/>
      <c r="AD216" s="935"/>
      <c r="AE216" s="935"/>
      <c r="AF216" s="935"/>
      <c r="AG216" s="935"/>
      <c r="AH216" s="935"/>
      <c r="AI216" s="935"/>
      <c r="AJ216" s="935"/>
      <c r="AK216" s="935"/>
      <c r="AL216" s="935"/>
      <c r="AM216" s="935"/>
      <c r="AN216" s="935"/>
      <c r="AO216" s="935"/>
      <c r="AP216" s="935"/>
      <c r="AQ216" s="935"/>
      <c r="AR216" s="935"/>
      <c r="AS216" s="935"/>
      <c r="AT216" s="935"/>
      <c r="AU216" s="935"/>
      <c r="AV216" s="935"/>
      <c r="AW216" s="935"/>
      <c r="AX216" s="935"/>
      <c r="AY216" s="935"/>
      <c r="AZ216" s="935"/>
      <c r="BA216" s="935"/>
      <c r="BB216" s="935"/>
      <c r="BC216" s="935"/>
      <c r="BD216" s="935"/>
      <c r="BE216" s="935"/>
      <c r="BF216" s="935"/>
      <c r="BG216" s="935"/>
      <c r="BH216" s="935"/>
      <c r="BI216" s="935"/>
      <c r="BJ216" s="935"/>
      <c r="BK216" s="935"/>
      <c r="BL216" s="935"/>
      <c r="BM216" s="935"/>
      <c r="BN216" s="935"/>
      <c r="BO216" s="935"/>
      <c r="BP216" s="935"/>
      <c r="BQ216" s="935"/>
      <c r="BR216" s="935"/>
      <c r="BS216" s="935"/>
      <c r="BT216" s="935"/>
    </row>
    <row r="217" spans="1:72" x14ac:dyDescent="0.25">
      <c r="A217" s="935" t="s">
        <v>654</v>
      </c>
      <c r="B217" s="935"/>
      <c r="C217" s="935"/>
      <c r="D217" s="935"/>
      <c r="E217" s="935"/>
      <c r="F217" s="935"/>
      <c r="G217" s="935"/>
      <c r="H217" s="935"/>
      <c r="I217" s="935"/>
      <c r="J217" s="935"/>
      <c r="K217" s="935"/>
      <c r="L217" s="935"/>
      <c r="M217" s="935"/>
      <c r="N217" s="935"/>
      <c r="O217" s="935"/>
      <c r="P217" s="935"/>
      <c r="Q217" s="935"/>
      <c r="R217" s="935"/>
      <c r="S217" s="935"/>
      <c r="T217" s="935"/>
      <c r="U217" s="935"/>
      <c r="V217" s="935"/>
      <c r="W217" s="935"/>
      <c r="X217" s="935"/>
      <c r="Y217" s="935"/>
      <c r="Z217" s="935"/>
      <c r="AA217" s="935"/>
      <c r="AB217" s="935"/>
      <c r="AC217" s="935"/>
      <c r="AD217" s="935"/>
      <c r="AE217" s="935"/>
      <c r="AF217" s="935"/>
      <c r="AG217" s="935"/>
      <c r="AH217" s="935"/>
      <c r="AI217" s="935"/>
      <c r="AJ217" s="935"/>
      <c r="AK217" s="935"/>
      <c r="AL217" s="935"/>
      <c r="AM217" s="935"/>
      <c r="AN217" s="935"/>
      <c r="AO217" s="935"/>
      <c r="AP217" s="935"/>
      <c r="AQ217" s="935"/>
      <c r="AR217" s="935"/>
      <c r="AS217" s="935"/>
      <c r="AT217" s="935"/>
      <c r="AU217" s="935"/>
      <c r="AV217" s="935"/>
      <c r="AW217" s="935"/>
      <c r="AX217" s="935"/>
      <c r="AY217" s="935"/>
      <c r="AZ217" s="935"/>
      <c r="BA217" s="935"/>
      <c r="BB217" s="935"/>
      <c r="BC217" s="935"/>
      <c r="BD217" s="935"/>
      <c r="BE217" s="935"/>
      <c r="BF217" s="935"/>
      <c r="BG217" s="935"/>
      <c r="BH217" s="935"/>
      <c r="BI217" s="935"/>
      <c r="BJ217" s="935"/>
      <c r="BK217" s="935"/>
      <c r="BL217" s="935"/>
      <c r="BM217" s="935"/>
      <c r="BN217" s="935"/>
      <c r="BO217" s="935"/>
      <c r="BP217" s="935"/>
      <c r="BQ217" s="935"/>
      <c r="BR217" s="935"/>
      <c r="BS217" s="935"/>
      <c r="BT217" s="935"/>
    </row>
    <row r="218" spans="1:72" x14ac:dyDescent="0.25">
      <c r="A218" s="935" t="s">
        <v>545</v>
      </c>
      <c r="B218" s="935"/>
      <c r="C218" s="935"/>
      <c r="D218" s="935"/>
      <c r="E218" s="935"/>
      <c r="F218" s="935"/>
      <c r="G218" s="935"/>
      <c r="H218" s="935"/>
      <c r="I218" s="935"/>
      <c r="J218" s="935"/>
      <c r="K218" s="935"/>
      <c r="L218" s="935"/>
      <c r="M218" s="935"/>
      <c r="N218" s="935"/>
      <c r="O218" s="935"/>
      <c r="P218" s="935"/>
      <c r="Q218" s="935"/>
      <c r="R218" s="935"/>
      <c r="S218" s="935"/>
      <c r="T218" s="935"/>
      <c r="U218" s="935"/>
      <c r="V218" s="935"/>
      <c r="W218" s="935"/>
      <c r="X218" s="935"/>
      <c r="Y218" s="935"/>
      <c r="Z218" s="935"/>
      <c r="AA218" s="935"/>
      <c r="AB218" s="935"/>
      <c r="AC218" s="935"/>
      <c r="AD218" s="935"/>
      <c r="AE218" s="935"/>
      <c r="AF218" s="935"/>
      <c r="AG218" s="935"/>
      <c r="AH218" s="935"/>
      <c r="AI218" s="935"/>
      <c r="AJ218" s="935"/>
      <c r="AK218" s="935"/>
      <c r="AL218" s="935"/>
      <c r="AM218" s="935"/>
      <c r="AN218" s="935"/>
      <c r="AO218" s="935"/>
      <c r="AP218" s="935"/>
      <c r="AQ218" s="935"/>
      <c r="AR218" s="935"/>
      <c r="AS218" s="935"/>
      <c r="AT218" s="935"/>
      <c r="AU218" s="935"/>
      <c r="AV218" s="935"/>
      <c r="AW218" s="935"/>
      <c r="AX218" s="935"/>
      <c r="AY218" s="935"/>
      <c r="AZ218" s="935"/>
      <c r="BA218" s="935"/>
      <c r="BB218" s="935"/>
      <c r="BC218" s="935"/>
      <c r="BD218" s="935"/>
      <c r="BE218" s="935"/>
      <c r="BF218" s="935"/>
      <c r="BG218" s="935"/>
      <c r="BH218" s="935"/>
      <c r="BI218" s="935"/>
      <c r="BJ218" s="935"/>
      <c r="BK218" s="935"/>
      <c r="BL218" s="935"/>
      <c r="BM218" s="935"/>
      <c r="BN218" s="935"/>
      <c r="BO218" s="935"/>
      <c r="BP218" s="935"/>
      <c r="BQ218" s="935"/>
      <c r="BR218" s="935"/>
      <c r="BS218" s="935"/>
      <c r="BT218" s="935"/>
    </row>
    <row r="219" spans="1:72" x14ac:dyDescent="0.25">
      <c r="A219" s="935" t="s">
        <v>730</v>
      </c>
      <c r="B219" s="935"/>
      <c r="C219" s="935"/>
      <c r="D219" s="935"/>
      <c r="E219" s="935"/>
      <c r="F219" s="935"/>
      <c r="G219" s="935"/>
      <c r="H219" s="935"/>
      <c r="I219" s="935"/>
      <c r="J219" s="935"/>
      <c r="K219" s="935"/>
      <c r="L219" s="935"/>
      <c r="M219" s="935"/>
      <c r="N219" s="935"/>
      <c r="O219" s="935"/>
      <c r="P219" s="935"/>
      <c r="Q219" s="935"/>
      <c r="R219" s="935"/>
      <c r="S219" s="935"/>
      <c r="T219" s="935"/>
      <c r="U219" s="935"/>
      <c r="V219" s="935"/>
      <c r="W219" s="935"/>
      <c r="X219" s="935"/>
      <c r="Y219" s="935"/>
      <c r="Z219" s="935"/>
      <c r="AA219" s="935"/>
      <c r="AB219" s="935"/>
      <c r="AC219" s="935"/>
      <c r="AD219" s="935"/>
      <c r="AE219" s="935"/>
      <c r="AF219" s="935"/>
      <c r="AG219" s="935"/>
      <c r="AH219" s="935"/>
      <c r="AI219" s="935"/>
      <c r="AJ219" s="935"/>
      <c r="AK219" s="935"/>
      <c r="AL219" s="935"/>
      <c r="AM219" s="935"/>
      <c r="AN219" s="935"/>
      <c r="AO219" s="935"/>
      <c r="AP219" s="935"/>
      <c r="AQ219" s="935"/>
      <c r="AR219" s="935"/>
      <c r="AS219" s="935"/>
      <c r="AT219" s="935"/>
      <c r="AU219" s="935"/>
      <c r="AV219" s="935"/>
      <c r="AW219" s="935"/>
      <c r="AX219" s="935"/>
      <c r="AY219" s="935"/>
      <c r="AZ219" s="935"/>
      <c r="BA219" s="935"/>
      <c r="BB219" s="935"/>
      <c r="BC219" s="935"/>
      <c r="BD219" s="935"/>
      <c r="BE219" s="935"/>
      <c r="BF219" s="935"/>
      <c r="BG219" s="935"/>
      <c r="BH219" s="935"/>
      <c r="BI219" s="935"/>
      <c r="BJ219" s="935"/>
      <c r="BK219" s="935"/>
      <c r="BL219" s="935"/>
      <c r="BM219" s="935"/>
      <c r="BN219" s="935"/>
      <c r="BO219" s="935"/>
      <c r="BP219" s="935"/>
      <c r="BQ219" s="935"/>
      <c r="BR219" s="935"/>
      <c r="BS219" s="935"/>
      <c r="BT219" s="935"/>
    </row>
    <row r="220" spans="1:72" x14ac:dyDescent="0.25">
      <c r="A220" s="935" t="s">
        <v>792</v>
      </c>
      <c r="B220" s="935"/>
      <c r="C220" s="935"/>
      <c r="D220" s="935"/>
      <c r="E220" s="935"/>
      <c r="F220" s="935"/>
      <c r="G220" s="935"/>
      <c r="H220" s="935"/>
      <c r="I220" s="935"/>
      <c r="J220" s="935"/>
      <c r="K220" s="935"/>
      <c r="L220" s="935"/>
      <c r="M220" s="935"/>
      <c r="N220" s="935"/>
      <c r="O220" s="935"/>
      <c r="P220" s="935"/>
      <c r="Q220" s="935"/>
      <c r="R220" s="935"/>
      <c r="S220" s="935"/>
      <c r="T220" s="935"/>
      <c r="U220" s="935"/>
      <c r="V220" s="935"/>
      <c r="W220" s="935"/>
      <c r="X220" s="935"/>
      <c r="Y220" s="935"/>
      <c r="Z220" s="935"/>
      <c r="AA220" s="935"/>
      <c r="AB220" s="935"/>
      <c r="AC220" s="935"/>
      <c r="AD220" s="935"/>
      <c r="AE220" s="935"/>
      <c r="AF220" s="935"/>
      <c r="AG220" s="935"/>
      <c r="AH220" s="935"/>
      <c r="AI220" s="935"/>
      <c r="AJ220" s="935"/>
      <c r="AK220" s="935"/>
      <c r="AL220" s="935"/>
      <c r="AM220" s="935"/>
      <c r="AN220" s="935"/>
      <c r="AO220" s="935"/>
      <c r="AP220" s="935"/>
      <c r="AQ220" s="935"/>
      <c r="AR220" s="935"/>
      <c r="AS220" s="935"/>
      <c r="AT220" s="935"/>
      <c r="AU220" s="935"/>
      <c r="AV220" s="935"/>
      <c r="AW220" s="935"/>
      <c r="AX220" s="935"/>
      <c r="AY220" s="935"/>
      <c r="AZ220" s="935"/>
      <c r="BA220" s="935"/>
      <c r="BB220" s="935"/>
      <c r="BC220" s="935"/>
      <c r="BD220" s="935"/>
      <c r="BE220" s="935"/>
      <c r="BF220" s="935"/>
      <c r="BG220" s="935"/>
      <c r="BH220" s="935"/>
      <c r="BI220" s="935"/>
      <c r="BJ220" s="935"/>
      <c r="BK220" s="935"/>
      <c r="BL220" s="935"/>
      <c r="BM220" s="935"/>
      <c r="BN220" s="935"/>
      <c r="BO220" s="935"/>
      <c r="BP220" s="935"/>
      <c r="BQ220" s="935"/>
      <c r="BR220" s="935"/>
      <c r="BS220" s="935"/>
      <c r="BT220" s="935"/>
    </row>
    <row r="221" spans="1:72" x14ac:dyDescent="0.25">
      <c r="A221" s="935" t="s">
        <v>793</v>
      </c>
      <c r="B221" s="935"/>
      <c r="C221" s="935"/>
      <c r="D221" s="935"/>
      <c r="E221" s="935"/>
      <c r="F221" s="935"/>
      <c r="G221" s="935"/>
      <c r="H221" s="935"/>
      <c r="I221" s="935"/>
      <c r="J221" s="935"/>
      <c r="K221" s="935"/>
      <c r="L221" s="935"/>
      <c r="M221" s="935"/>
      <c r="N221" s="935"/>
      <c r="O221" s="935"/>
      <c r="P221" s="935"/>
      <c r="Q221" s="935"/>
      <c r="R221" s="935"/>
      <c r="S221" s="935"/>
      <c r="T221" s="935"/>
      <c r="U221" s="935"/>
      <c r="V221" s="935"/>
      <c r="W221" s="935"/>
      <c r="X221" s="935"/>
      <c r="Y221" s="935"/>
      <c r="Z221" s="935"/>
      <c r="AA221" s="935"/>
      <c r="AB221" s="935"/>
      <c r="AC221" s="935"/>
      <c r="AD221" s="935"/>
      <c r="AE221" s="935"/>
      <c r="AF221" s="935"/>
      <c r="AG221" s="935"/>
      <c r="AH221" s="935"/>
      <c r="AI221" s="935"/>
      <c r="AJ221" s="935"/>
      <c r="AK221" s="935"/>
      <c r="AL221" s="935"/>
      <c r="AM221" s="935"/>
      <c r="AN221" s="935"/>
      <c r="AO221" s="935"/>
      <c r="AP221" s="935"/>
      <c r="AQ221" s="935"/>
      <c r="AR221" s="935"/>
      <c r="AS221" s="935"/>
      <c r="AT221" s="935"/>
      <c r="AU221" s="935"/>
      <c r="AV221" s="935"/>
      <c r="AW221" s="935"/>
      <c r="AX221" s="935"/>
      <c r="AY221" s="935"/>
      <c r="AZ221" s="935"/>
      <c r="BA221" s="935"/>
      <c r="BB221" s="935"/>
      <c r="BC221" s="935"/>
      <c r="BD221" s="935"/>
      <c r="BE221" s="935"/>
      <c r="BF221" s="935"/>
      <c r="BG221" s="935"/>
      <c r="BH221" s="935"/>
      <c r="BI221" s="935"/>
      <c r="BJ221" s="935"/>
      <c r="BK221" s="935"/>
      <c r="BL221" s="935"/>
      <c r="BM221" s="935"/>
      <c r="BN221" s="935"/>
      <c r="BO221" s="935"/>
      <c r="BP221" s="935"/>
      <c r="BQ221" s="935"/>
      <c r="BR221" s="935"/>
      <c r="BS221" s="935"/>
      <c r="BT221" s="935"/>
    </row>
    <row r="222" spans="1:72" x14ac:dyDescent="0.25">
      <c r="A222" s="935" t="s">
        <v>794</v>
      </c>
      <c r="B222" s="935"/>
      <c r="C222" s="935"/>
      <c r="D222" s="935"/>
      <c r="E222" s="935"/>
      <c r="F222" s="935"/>
      <c r="G222" s="935"/>
      <c r="H222" s="935"/>
      <c r="I222" s="935"/>
      <c r="J222" s="935"/>
      <c r="K222" s="935"/>
      <c r="L222" s="935"/>
      <c r="M222" s="935"/>
      <c r="N222" s="935"/>
      <c r="O222" s="935"/>
      <c r="P222" s="935"/>
      <c r="Q222" s="935"/>
      <c r="R222" s="935"/>
      <c r="S222" s="935"/>
      <c r="T222" s="935"/>
      <c r="U222" s="935"/>
      <c r="V222" s="935"/>
      <c r="W222" s="935"/>
      <c r="X222" s="935"/>
      <c r="Y222" s="935"/>
      <c r="Z222" s="935"/>
      <c r="AA222" s="935"/>
      <c r="AB222" s="935"/>
      <c r="AC222" s="935"/>
      <c r="AD222" s="935"/>
      <c r="AE222" s="935"/>
      <c r="AF222" s="935"/>
      <c r="AG222" s="935"/>
      <c r="AH222" s="935"/>
      <c r="AI222" s="935"/>
      <c r="AJ222" s="935"/>
      <c r="AK222" s="935"/>
      <c r="AL222" s="935"/>
      <c r="AM222" s="935"/>
      <c r="AN222" s="935"/>
      <c r="AO222" s="935"/>
      <c r="AP222" s="935"/>
      <c r="AQ222" s="935"/>
      <c r="AR222" s="935"/>
      <c r="AS222" s="935"/>
      <c r="AT222" s="935"/>
      <c r="AU222" s="935"/>
      <c r="AV222" s="935"/>
      <c r="AW222" s="935"/>
      <c r="AX222" s="935"/>
      <c r="AY222" s="935"/>
      <c r="AZ222" s="935"/>
      <c r="BA222" s="935"/>
      <c r="BB222" s="935"/>
      <c r="BC222" s="935"/>
      <c r="BD222" s="935"/>
      <c r="BE222" s="935"/>
      <c r="BF222" s="935"/>
      <c r="BG222" s="935"/>
      <c r="BH222" s="935"/>
      <c r="BI222" s="935"/>
      <c r="BJ222" s="935"/>
      <c r="BK222" s="935"/>
      <c r="BL222" s="935"/>
      <c r="BM222" s="935"/>
      <c r="BN222" s="935"/>
      <c r="BO222" s="935"/>
      <c r="BP222" s="935"/>
      <c r="BQ222" s="935"/>
      <c r="BR222" s="935"/>
      <c r="BS222" s="935"/>
      <c r="BT222" s="935"/>
    </row>
    <row r="223" spans="1:72" x14ac:dyDescent="0.25">
      <c r="A223" s="935" t="s">
        <v>795</v>
      </c>
      <c r="B223" s="935"/>
      <c r="C223" s="935"/>
      <c r="D223" s="935"/>
      <c r="E223" s="935"/>
      <c r="F223" s="935"/>
      <c r="G223" s="935"/>
      <c r="H223" s="935"/>
      <c r="I223" s="935"/>
      <c r="J223" s="935"/>
      <c r="K223" s="935"/>
      <c r="L223" s="935"/>
      <c r="M223" s="935"/>
      <c r="N223" s="935"/>
      <c r="O223" s="935"/>
      <c r="P223" s="935"/>
      <c r="Q223" s="935"/>
      <c r="R223" s="935"/>
      <c r="S223" s="935"/>
      <c r="T223" s="935"/>
      <c r="U223" s="935"/>
      <c r="V223" s="935"/>
      <c r="W223" s="935"/>
      <c r="X223" s="935"/>
      <c r="Y223" s="935"/>
      <c r="Z223" s="935"/>
      <c r="AA223" s="935"/>
      <c r="AB223" s="935"/>
      <c r="AC223" s="935"/>
      <c r="AD223" s="935"/>
      <c r="AE223" s="935"/>
      <c r="AF223" s="935"/>
      <c r="AG223" s="935"/>
      <c r="AH223" s="935"/>
      <c r="AI223" s="935"/>
      <c r="AJ223" s="935"/>
      <c r="AK223" s="935"/>
      <c r="AL223" s="935"/>
      <c r="AM223" s="935"/>
      <c r="AN223" s="935"/>
      <c r="AO223" s="935"/>
      <c r="AP223" s="935"/>
      <c r="AQ223" s="935"/>
      <c r="AR223" s="935"/>
      <c r="AS223" s="935"/>
      <c r="AT223" s="935"/>
      <c r="AU223" s="935"/>
      <c r="AV223" s="935"/>
      <c r="AW223" s="935"/>
      <c r="AX223" s="935"/>
      <c r="AY223" s="935"/>
      <c r="AZ223" s="935"/>
      <c r="BA223" s="935"/>
      <c r="BB223" s="935"/>
      <c r="BC223" s="935"/>
      <c r="BD223" s="935"/>
      <c r="BE223" s="935"/>
      <c r="BF223" s="935"/>
      <c r="BG223" s="935"/>
      <c r="BH223" s="935"/>
      <c r="BI223" s="935"/>
      <c r="BJ223" s="935"/>
      <c r="BK223" s="935"/>
      <c r="BL223" s="935"/>
      <c r="BM223" s="935"/>
      <c r="BN223" s="935"/>
      <c r="BO223" s="935"/>
      <c r="BP223" s="935"/>
      <c r="BQ223" s="935"/>
      <c r="BR223" s="935"/>
      <c r="BS223" s="935"/>
      <c r="BT223" s="935"/>
    </row>
    <row r="224" spans="1:72" x14ac:dyDescent="0.25">
      <c r="A224" s="935" t="s">
        <v>796</v>
      </c>
      <c r="B224" s="935"/>
      <c r="C224" s="935"/>
      <c r="D224" s="935"/>
      <c r="E224" s="935"/>
      <c r="F224" s="935"/>
      <c r="G224" s="935"/>
      <c r="H224" s="935"/>
      <c r="I224" s="935"/>
      <c r="J224" s="935"/>
      <c r="K224" s="935"/>
      <c r="L224" s="935"/>
      <c r="M224" s="935"/>
      <c r="N224" s="935"/>
      <c r="O224" s="935"/>
      <c r="P224" s="935"/>
      <c r="Q224" s="935"/>
      <c r="R224" s="935"/>
      <c r="S224" s="935"/>
      <c r="T224" s="935"/>
      <c r="U224" s="935"/>
      <c r="V224" s="935"/>
      <c r="W224" s="935"/>
      <c r="X224" s="935"/>
      <c r="Y224" s="935"/>
      <c r="Z224" s="935"/>
      <c r="AA224" s="935"/>
      <c r="AB224" s="935"/>
      <c r="AC224" s="935"/>
      <c r="AD224" s="935"/>
      <c r="AE224" s="935"/>
      <c r="AF224" s="935"/>
      <c r="AG224" s="935"/>
      <c r="AH224" s="935"/>
      <c r="AI224" s="935"/>
      <c r="AJ224" s="935"/>
      <c r="AK224" s="935"/>
      <c r="AL224" s="935"/>
      <c r="AM224" s="935"/>
      <c r="AN224" s="935"/>
      <c r="AO224" s="935"/>
      <c r="AP224" s="935"/>
      <c r="AQ224" s="935"/>
      <c r="AR224" s="935"/>
      <c r="AS224" s="935"/>
      <c r="AT224" s="935"/>
      <c r="AU224" s="935"/>
      <c r="AV224" s="935"/>
      <c r="AW224" s="935"/>
      <c r="AX224" s="935"/>
      <c r="AY224" s="935"/>
      <c r="AZ224" s="935"/>
      <c r="BA224" s="935"/>
      <c r="BB224" s="935"/>
      <c r="BC224" s="935"/>
      <c r="BD224" s="935"/>
      <c r="BE224" s="935"/>
      <c r="BF224" s="935"/>
      <c r="BG224" s="935"/>
      <c r="BH224" s="935"/>
      <c r="BI224" s="935"/>
      <c r="BJ224" s="935"/>
      <c r="BK224" s="935"/>
      <c r="BL224" s="935"/>
      <c r="BM224" s="935"/>
      <c r="BN224" s="935"/>
      <c r="BO224" s="935"/>
      <c r="BP224" s="935"/>
      <c r="BQ224" s="935"/>
      <c r="BR224" s="935"/>
      <c r="BS224" s="935"/>
      <c r="BT224" s="935"/>
    </row>
    <row r="225" spans="1:72" x14ac:dyDescent="0.25">
      <c r="A225" s="935" t="s">
        <v>797</v>
      </c>
      <c r="B225" s="935"/>
      <c r="C225" s="935"/>
      <c r="D225" s="935"/>
      <c r="E225" s="935"/>
      <c r="F225" s="935"/>
      <c r="G225" s="935"/>
      <c r="H225" s="935"/>
      <c r="I225" s="935"/>
      <c r="J225" s="935"/>
      <c r="K225" s="935"/>
      <c r="L225" s="935"/>
      <c r="M225" s="935"/>
      <c r="N225" s="935"/>
      <c r="O225" s="935"/>
      <c r="P225" s="935"/>
      <c r="Q225" s="935"/>
      <c r="R225" s="935"/>
      <c r="S225" s="935"/>
      <c r="T225" s="935"/>
      <c r="U225" s="935"/>
      <c r="V225" s="935"/>
      <c r="W225" s="935"/>
      <c r="X225" s="935"/>
      <c r="Y225" s="935"/>
      <c r="Z225" s="935"/>
      <c r="AA225" s="935"/>
      <c r="AB225" s="935"/>
      <c r="AC225" s="935"/>
      <c r="AD225" s="935"/>
      <c r="AE225" s="935"/>
      <c r="AF225" s="935"/>
      <c r="AG225" s="935"/>
      <c r="AH225" s="935"/>
      <c r="AI225" s="935"/>
      <c r="AJ225" s="935"/>
      <c r="AK225" s="935"/>
      <c r="AL225" s="935"/>
      <c r="AM225" s="935"/>
      <c r="AN225" s="935"/>
      <c r="AO225" s="935"/>
      <c r="AP225" s="935"/>
      <c r="AQ225" s="935"/>
      <c r="AR225" s="935"/>
      <c r="AS225" s="935"/>
      <c r="AT225" s="935"/>
      <c r="AU225" s="935"/>
      <c r="AV225" s="935"/>
      <c r="AW225" s="935"/>
      <c r="AX225" s="935"/>
      <c r="AY225" s="935"/>
      <c r="AZ225" s="935"/>
      <c r="BA225" s="935"/>
      <c r="BB225" s="935"/>
      <c r="BC225" s="935"/>
      <c r="BD225" s="935"/>
      <c r="BE225" s="935"/>
      <c r="BF225" s="935"/>
      <c r="BG225" s="935"/>
      <c r="BH225" s="935"/>
      <c r="BI225" s="935"/>
      <c r="BJ225" s="935"/>
      <c r="BK225" s="935"/>
      <c r="BL225" s="935"/>
      <c r="BM225" s="935"/>
      <c r="BN225" s="935"/>
      <c r="BO225" s="935"/>
      <c r="BP225" s="935"/>
      <c r="BQ225" s="935"/>
      <c r="BR225" s="935"/>
      <c r="BS225" s="935"/>
      <c r="BT225" s="935"/>
    </row>
    <row r="226" spans="1:72" x14ac:dyDescent="0.25">
      <c r="A226" s="935" t="s">
        <v>798</v>
      </c>
      <c r="B226" s="935"/>
      <c r="C226" s="935"/>
      <c r="D226" s="935"/>
      <c r="E226" s="935"/>
      <c r="F226" s="935"/>
      <c r="G226" s="935"/>
      <c r="H226" s="935"/>
      <c r="I226" s="935"/>
      <c r="J226" s="935"/>
      <c r="K226" s="935"/>
      <c r="L226" s="935"/>
      <c r="M226" s="935"/>
      <c r="N226" s="935"/>
      <c r="O226" s="935"/>
      <c r="P226" s="935"/>
      <c r="Q226" s="935"/>
      <c r="R226" s="935"/>
      <c r="S226" s="935"/>
      <c r="T226" s="935"/>
      <c r="U226" s="935"/>
      <c r="V226" s="935"/>
      <c r="W226" s="935"/>
      <c r="X226" s="935"/>
      <c r="Y226" s="935"/>
      <c r="Z226" s="935"/>
      <c r="AA226" s="935"/>
      <c r="AB226" s="935"/>
      <c r="AC226" s="935"/>
      <c r="AD226" s="935"/>
      <c r="AE226" s="935"/>
      <c r="AF226" s="935"/>
      <c r="AG226" s="935"/>
      <c r="AH226" s="935"/>
      <c r="AI226" s="935"/>
      <c r="AJ226" s="935"/>
      <c r="AK226" s="935"/>
      <c r="AL226" s="935"/>
      <c r="AM226" s="935"/>
      <c r="AN226" s="935"/>
      <c r="AO226" s="935"/>
      <c r="AP226" s="935"/>
      <c r="AQ226" s="935"/>
      <c r="AR226" s="935"/>
      <c r="AS226" s="935"/>
      <c r="AT226" s="935"/>
      <c r="AU226" s="935"/>
      <c r="AV226" s="935"/>
      <c r="AW226" s="935"/>
      <c r="AX226" s="935"/>
      <c r="AY226" s="935"/>
      <c r="AZ226" s="935"/>
      <c r="BA226" s="935"/>
      <c r="BB226" s="935"/>
      <c r="BC226" s="935"/>
      <c r="BD226" s="935"/>
      <c r="BE226" s="935"/>
      <c r="BF226" s="935"/>
      <c r="BG226" s="935"/>
      <c r="BH226" s="935"/>
      <c r="BI226" s="935"/>
      <c r="BJ226" s="935"/>
      <c r="BK226" s="935"/>
      <c r="BL226" s="935"/>
      <c r="BM226" s="935"/>
      <c r="BN226" s="935"/>
      <c r="BO226" s="935"/>
      <c r="BP226" s="935"/>
      <c r="BQ226" s="935"/>
      <c r="BR226" s="935"/>
      <c r="BS226" s="935"/>
      <c r="BT226" s="935"/>
    </row>
    <row r="227" spans="1:72" x14ac:dyDescent="0.25">
      <c r="A227" s="935" t="s">
        <v>799</v>
      </c>
      <c r="B227" s="935"/>
      <c r="C227" s="935"/>
      <c r="D227" s="935"/>
      <c r="E227" s="935"/>
      <c r="F227" s="935"/>
      <c r="G227" s="935"/>
      <c r="H227" s="935"/>
      <c r="I227" s="935"/>
      <c r="J227" s="935"/>
      <c r="K227" s="935"/>
      <c r="L227" s="935"/>
      <c r="M227" s="935"/>
      <c r="N227" s="935"/>
      <c r="O227" s="935"/>
      <c r="P227" s="935"/>
      <c r="Q227" s="935"/>
      <c r="R227" s="935"/>
      <c r="S227" s="935"/>
      <c r="T227" s="935"/>
      <c r="U227" s="935"/>
      <c r="V227" s="935"/>
      <c r="W227" s="935"/>
      <c r="X227" s="935"/>
      <c r="Y227" s="935"/>
      <c r="Z227" s="935"/>
      <c r="AA227" s="935"/>
      <c r="AB227" s="935"/>
      <c r="AC227" s="935"/>
      <c r="AD227" s="935"/>
      <c r="AE227" s="935"/>
      <c r="AF227" s="935"/>
      <c r="AG227" s="935"/>
      <c r="AH227" s="935"/>
      <c r="AI227" s="935"/>
      <c r="AJ227" s="935"/>
      <c r="AK227" s="935"/>
      <c r="AL227" s="935"/>
      <c r="AM227" s="935"/>
      <c r="AN227" s="935"/>
      <c r="AO227" s="935"/>
      <c r="AP227" s="935"/>
      <c r="AQ227" s="935"/>
      <c r="AR227" s="935"/>
      <c r="AS227" s="935"/>
      <c r="AT227" s="935"/>
      <c r="AU227" s="935"/>
      <c r="AV227" s="935"/>
      <c r="AW227" s="935"/>
      <c r="AX227" s="935"/>
      <c r="AY227" s="935"/>
      <c r="AZ227" s="935"/>
      <c r="BA227" s="935"/>
      <c r="BB227" s="935"/>
      <c r="BC227" s="935"/>
      <c r="BD227" s="935"/>
      <c r="BE227" s="935"/>
      <c r="BF227" s="935"/>
      <c r="BG227" s="935"/>
      <c r="BH227" s="935"/>
      <c r="BI227" s="935"/>
      <c r="BJ227" s="935"/>
      <c r="BK227" s="935"/>
      <c r="BL227" s="935"/>
      <c r="BM227" s="935"/>
      <c r="BN227" s="935"/>
      <c r="BO227" s="935"/>
      <c r="BP227" s="935"/>
      <c r="BQ227" s="935"/>
      <c r="BR227" s="935"/>
      <c r="BS227" s="935"/>
      <c r="BT227" s="935"/>
    </row>
    <row r="228" spans="1:72" x14ac:dyDescent="0.25">
      <c r="A228" s="935" t="s">
        <v>800</v>
      </c>
      <c r="B228" s="935"/>
      <c r="C228" s="935"/>
      <c r="D228" s="935"/>
      <c r="E228" s="935"/>
      <c r="F228" s="935"/>
      <c r="G228" s="935"/>
      <c r="H228" s="935"/>
      <c r="I228" s="935"/>
      <c r="J228" s="935"/>
      <c r="K228" s="935"/>
      <c r="L228" s="935"/>
      <c r="M228" s="935"/>
      <c r="N228" s="935"/>
      <c r="O228" s="935"/>
      <c r="P228" s="935"/>
      <c r="Q228" s="935"/>
      <c r="R228" s="935"/>
      <c r="S228" s="935"/>
      <c r="T228" s="935"/>
      <c r="U228" s="935"/>
      <c r="V228" s="935"/>
      <c r="W228" s="935"/>
      <c r="X228" s="935"/>
      <c r="Y228" s="935"/>
      <c r="Z228" s="935"/>
      <c r="AA228" s="935"/>
      <c r="AB228" s="935"/>
      <c r="AC228" s="935"/>
      <c r="AD228" s="935"/>
      <c r="AE228" s="935"/>
      <c r="AF228" s="935"/>
      <c r="AG228" s="935"/>
      <c r="AH228" s="935"/>
      <c r="AI228" s="935"/>
      <c r="AJ228" s="935"/>
      <c r="AK228" s="935"/>
      <c r="AL228" s="935"/>
      <c r="AM228" s="935"/>
      <c r="AN228" s="935"/>
      <c r="AO228" s="935"/>
      <c r="AP228" s="935"/>
      <c r="AQ228" s="935"/>
      <c r="AR228" s="935"/>
      <c r="AS228" s="935"/>
      <c r="AT228" s="935"/>
      <c r="AU228" s="935"/>
      <c r="AV228" s="935"/>
      <c r="AW228" s="935"/>
      <c r="AX228" s="935"/>
      <c r="AY228" s="935"/>
      <c r="AZ228" s="935"/>
      <c r="BA228" s="935"/>
      <c r="BB228" s="935"/>
      <c r="BC228" s="935"/>
      <c r="BD228" s="935"/>
      <c r="BE228" s="935"/>
      <c r="BF228" s="935"/>
      <c r="BG228" s="935"/>
      <c r="BH228" s="935"/>
      <c r="BI228" s="935"/>
      <c r="BJ228" s="935"/>
      <c r="BK228" s="935"/>
      <c r="BL228" s="935"/>
      <c r="BM228" s="935"/>
      <c r="BN228" s="935"/>
      <c r="BO228" s="935"/>
      <c r="BP228" s="935"/>
      <c r="BQ228" s="935"/>
      <c r="BR228" s="935"/>
      <c r="BS228" s="935"/>
      <c r="BT228" s="935"/>
    </row>
    <row r="229" spans="1:72" x14ac:dyDescent="0.25">
      <c r="A229" s="935" t="s">
        <v>801</v>
      </c>
      <c r="B229" s="935"/>
      <c r="C229" s="935"/>
      <c r="D229" s="935"/>
      <c r="E229" s="935"/>
      <c r="F229" s="935"/>
      <c r="G229" s="935"/>
      <c r="H229" s="935"/>
      <c r="I229" s="935"/>
      <c r="J229" s="935"/>
      <c r="K229" s="935"/>
      <c r="L229" s="935"/>
      <c r="M229" s="935"/>
      <c r="N229" s="935"/>
      <c r="O229" s="935"/>
      <c r="P229" s="935"/>
      <c r="Q229" s="935"/>
      <c r="R229" s="935"/>
      <c r="S229" s="935"/>
      <c r="T229" s="935"/>
      <c r="U229" s="935"/>
      <c r="V229" s="935"/>
      <c r="W229" s="935"/>
      <c r="X229" s="935"/>
      <c r="Y229" s="935"/>
      <c r="Z229" s="935"/>
      <c r="AA229" s="935"/>
      <c r="AB229" s="935"/>
      <c r="AC229" s="935"/>
      <c r="AD229" s="935"/>
      <c r="AE229" s="935"/>
      <c r="AF229" s="935"/>
      <c r="AG229" s="935"/>
      <c r="AH229" s="935"/>
      <c r="AI229" s="935"/>
      <c r="AJ229" s="935"/>
      <c r="AK229" s="935"/>
      <c r="AL229" s="935"/>
      <c r="AM229" s="935"/>
      <c r="AN229" s="935"/>
      <c r="AO229" s="935"/>
      <c r="AP229" s="935"/>
      <c r="AQ229" s="935"/>
      <c r="AR229" s="935"/>
      <c r="AS229" s="935"/>
      <c r="AT229" s="935"/>
      <c r="AU229" s="935"/>
      <c r="AV229" s="935"/>
      <c r="AW229" s="935"/>
      <c r="AX229" s="935"/>
      <c r="AY229" s="935"/>
      <c r="AZ229" s="935"/>
      <c r="BA229" s="935"/>
      <c r="BB229" s="935"/>
      <c r="BC229" s="935"/>
      <c r="BD229" s="935"/>
      <c r="BE229" s="935"/>
      <c r="BF229" s="935"/>
      <c r="BG229" s="935"/>
      <c r="BH229" s="935"/>
      <c r="BI229" s="935"/>
      <c r="BJ229" s="935"/>
      <c r="BK229" s="935"/>
      <c r="BL229" s="935"/>
      <c r="BM229" s="935"/>
      <c r="BN229" s="935"/>
      <c r="BO229" s="935"/>
      <c r="BP229" s="935"/>
      <c r="BQ229" s="935"/>
      <c r="BR229" s="935"/>
      <c r="BS229" s="935"/>
      <c r="BT229" s="935"/>
    </row>
    <row r="230" spans="1:72" x14ac:dyDescent="0.25">
      <c r="A230" s="935" t="s">
        <v>802</v>
      </c>
      <c r="B230" s="935"/>
      <c r="C230" s="935"/>
      <c r="D230" s="935"/>
      <c r="E230" s="935"/>
      <c r="F230" s="935"/>
      <c r="G230" s="935"/>
      <c r="H230" s="935"/>
      <c r="I230" s="935"/>
      <c r="J230" s="935"/>
      <c r="K230" s="935"/>
      <c r="L230" s="935"/>
      <c r="M230" s="935"/>
      <c r="N230" s="935"/>
      <c r="O230" s="935"/>
      <c r="P230" s="935"/>
      <c r="Q230" s="935"/>
      <c r="R230" s="935"/>
      <c r="S230" s="935"/>
      <c r="T230" s="935"/>
      <c r="U230" s="935"/>
      <c r="V230" s="935"/>
      <c r="W230" s="935"/>
      <c r="X230" s="935"/>
      <c r="Y230" s="935"/>
      <c r="Z230" s="935"/>
      <c r="AA230" s="935"/>
      <c r="AB230" s="935"/>
      <c r="AC230" s="935"/>
      <c r="AD230" s="935"/>
      <c r="AE230" s="935"/>
      <c r="AF230" s="935"/>
      <c r="AG230" s="935"/>
      <c r="AH230" s="935"/>
      <c r="AI230" s="935"/>
      <c r="AJ230" s="935"/>
      <c r="AK230" s="935"/>
      <c r="AL230" s="935"/>
      <c r="AM230" s="935"/>
      <c r="AN230" s="935"/>
      <c r="AO230" s="935"/>
      <c r="AP230" s="935"/>
      <c r="AQ230" s="935"/>
      <c r="AR230" s="935"/>
      <c r="AS230" s="935"/>
      <c r="AT230" s="935"/>
      <c r="AU230" s="935"/>
      <c r="AV230" s="935"/>
      <c r="AW230" s="935"/>
      <c r="AX230" s="935"/>
      <c r="AY230" s="935"/>
      <c r="AZ230" s="935"/>
      <c r="BA230" s="935"/>
      <c r="BB230" s="935"/>
      <c r="BC230" s="935"/>
      <c r="BD230" s="935"/>
      <c r="BE230" s="935"/>
      <c r="BF230" s="935"/>
      <c r="BG230" s="935"/>
      <c r="BH230" s="935"/>
      <c r="BI230" s="935"/>
      <c r="BJ230" s="935"/>
      <c r="BK230" s="935"/>
      <c r="BL230" s="935"/>
      <c r="BM230" s="935"/>
      <c r="BN230" s="935"/>
      <c r="BO230" s="935"/>
      <c r="BP230" s="935"/>
      <c r="BQ230" s="935"/>
      <c r="BR230" s="935"/>
      <c r="BS230" s="935"/>
      <c r="BT230" s="935"/>
    </row>
    <row r="231" spans="1:72" x14ac:dyDescent="0.25">
      <c r="A231" s="935" t="s">
        <v>803</v>
      </c>
      <c r="B231" s="935"/>
      <c r="C231" s="935"/>
      <c r="D231" s="935"/>
      <c r="E231" s="935"/>
      <c r="F231" s="935"/>
      <c r="G231" s="935"/>
      <c r="H231" s="935"/>
      <c r="I231" s="935"/>
      <c r="J231" s="935"/>
      <c r="K231" s="935"/>
      <c r="L231" s="935"/>
      <c r="M231" s="935"/>
      <c r="N231" s="935"/>
      <c r="O231" s="935"/>
      <c r="P231" s="935"/>
      <c r="Q231" s="935"/>
      <c r="R231" s="935"/>
      <c r="S231" s="935"/>
      <c r="T231" s="935"/>
      <c r="U231" s="935"/>
      <c r="V231" s="935"/>
      <c r="W231" s="935"/>
      <c r="X231" s="935"/>
      <c r="Y231" s="935"/>
      <c r="Z231" s="935"/>
      <c r="AA231" s="935"/>
      <c r="AB231" s="935"/>
      <c r="AC231" s="935"/>
      <c r="AD231" s="935"/>
      <c r="AE231" s="935"/>
      <c r="AF231" s="935"/>
      <c r="AG231" s="935"/>
      <c r="AH231" s="935"/>
      <c r="AI231" s="935"/>
      <c r="AJ231" s="935"/>
      <c r="AK231" s="935"/>
      <c r="AL231" s="935"/>
      <c r="AM231" s="935"/>
      <c r="AN231" s="935"/>
      <c r="AO231" s="935"/>
      <c r="AP231" s="935"/>
      <c r="AQ231" s="935"/>
      <c r="AR231" s="935"/>
      <c r="AS231" s="935"/>
      <c r="AT231" s="935"/>
      <c r="AU231" s="935"/>
      <c r="AV231" s="935"/>
      <c r="AW231" s="935"/>
      <c r="AX231" s="935"/>
      <c r="AY231" s="935"/>
      <c r="AZ231" s="935"/>
      <c r="BA231" s="935"/>
      <c r="BB231" s="935"/>
      <c r="BC231" s="935"/>
      <c r="BD231" s="935"/>
      <c r="BE231" s="935"/>
      <c r="BF231" s="935"/>
      <c r="BG231" s="935"/>
      <c r="BH231" s="935"/>
      <c r="BI231" s="935"/>
      <c r="BJ231" s="935"/>
      <c r="BK231" s="935"/>
      <c r="BL231" s="935"/>
      <c r="BM231" s="935"/>
      <c r="BN231" s="935"/>
      <c r="BO231" s="935"/>
      <c r="BP231" s="935"/>
      <c r="BQ231" s="935"/>
      <c r="BR231" s="935"/>
      <c r="BS231" s="935"/>
      <c r="BT231" s="935"/>
    </row>
    <row r="232" spans="1:72" x14ac:dyDescent="0.25">
      <c r="A232" s="935" t="s">
        <v>804</v>
      </c>
      <c r="B232" s="935"/>
      <c r="C232" s="935"/>
      <c r="D232" s="935"/>
      <c r="E232" s="935"/>
      <c r="F232" s="935"/>
      <c r="G232" s="935"/>
      <c r="H232" s="935"/>
      <c r="I232" s="935"/>
      <c r="J232" s="935"/>
      <c r="K232" s="935"/>
      <c r="L232" s="935"/>
      <c r="M232" s="935"/>
      <c r="N232" s="935"/>
      <c r="O232" s="935"/>
      <c r="P232" s="935"/>
      <c r="Q232" s="935"/>
      <c r="R232" s="935"/>
      <c r="S232" s="935"/>
      <c r="T232" s="935"/>
      <c r="U232" s="935"/>
      <c r="V232" s="935"/>
      <c r="W232" s="935"/>
      <c r="X232" s="935"/>
      <c r="Y232" s="935"/>
      <c r="Z232" s="935"/>
      <c r="AA232" s="935"/>
      <c r="AB232" s="935"/>
      <c r="AC232" s="935"/>
      <c r="AD232" s="935"/>
      <c r="AE232" s="935"/>
      <c r="AF232" s="935"/>
      <c r="AG232" s="935"/>
      <c r="AH232" s="935"/>
      <c r="AI232" s="935"/>
      <c r="AJ232" s="935"/>
      <c r="AK232" s="935"/>
      <c r="AL232" s="935"/>
      <c r="AM232" s="935"/>
      <c r="AN232" s="935"/>
      <c r="AO232" s="935"/>
      <c r="AP232" s="935"/>
      <c r="AQ232" s="935"/>
      <c r="AR232" s="935"/>
      <c r="AS232" s="935"/>
      <c r="AT232" s="935"/>
      <c r="AU232" s="935"/>
      <c r="AV232" s="935"/>
      <c r="AW232" s="935"/>
      <c r="AX232" s="935"/>
      <c r="AY232" s="935"/>
      <c r="AZ232" s="935"/>
      <c r="BA232" s="935"/>
      <c r="BB232" s="935"/>
      <c r="BC232" s="935"/>
      <c r="BD232" s="935"/>
      <c r="BE232" s="935"/>
      <c r="BF232" s="935"/>
      <c r="BG232" s="935"/>
      <c r="BH232" s="935"/>
      <c r="BI232" s="935"/>
      <c r="BJ232" s="935"/>
      <c r="BK232" s="935"/>
      <c r="BL232" s="935"/>
      <c r="BM232" s="935"/>
      <c r="BN232" s="935"/>
      <c r="BO232" s="935"/>
      <c r="BP232" s="935"/>
      <c r="BQ232" s="935"/>
      <c r="BR232" s="935"/>
      <c r="BS232" s="935"/>
      <c r="BT232" s="935"/>
    </row>
    <row r="233" spans="1:72" x14ac:dyDescent="0.25">
      <c r="A233" s="912" t="s">
        <v>805</v>
      </c>
      <c r="AA233" s="306"/>
      <c r="AB233" s="306"/>
      <c r="AC233" s="306"/>
      <c r="AD233" s="306"/>
    </row>
    <row r="234" spans="1:72" x14ac:dyDescent="0.25">
      <c r="A234" s="912" t="s">
        <v>806</v>
      </c>
      <c r="AA234" s="306"/>
      <c r="AB234" s="306"/>
      <c r="AC234" s="306"/>
      <c r="AD234" s="306"/>
    </row>
    <row r="235" spans="1:72" x14ac:dyDescent="0.25">
      <c r="A235" s="912" t="s">
        <v>718</v>
      </c>
      <c r="B235" t="s">
        <v>719</v>
      </c>
      <c r="C235" t="s">
        <v>720</v>
      </c>
      <c r="E235" t="s">
        <v>721</v>
      </c>
      <c r="AA235" s="306"/>
      <c r="AB235" s="306"/>
      <c r="AC235" s="306"/>
      <c r="AD235" s="306"/>
    </row>
    <row r="236" spans="1:72" x14ac:dyDescent="0.25">
      <c r="AA236" s="306"/>
      <c r="AB236" s="306"/>
      <c r="AC236" s="306"/>
      <c r="AD236" s="306"/>
    </row>
    <row r="237" spans="1:72" x14ac:dyDescent="0.25">
      <c r="A237" s="912" t="s">
        <v>447</v>
      </c>
      <c r="AA237" s="306"/>
      <c r="AB237" s="306"/>
      <c r="AC237" s="306"/>
      <c r="AD237" s="306"/>
    </row>
    <row r="238" spans="1:72" x14ac:dyDescent="0.25">
      <c r="A238" s="912" t="s">
        <v>722</v>
      </c>
      <c r="AA238" s="306"/>
      <c r="AB238" s="306"/>
      <c r="AC238" s="306"/>
      <c r="AD238" s="306"/>
    </row>
    <row r="239" spans="1:72" x14ac:dyDescent="0.25">
      <c r="AA239" s="306"/>
      <c r="AB239" s="306"/>
      <c r="AC239" s="306"/>
      <c r="AD239" s="306"/>
    </row>
    <row r="240" spans="1:72" x14ac:dyDescent="0.25">
      <c r="AA240" s="306"/>
      <c r="AB240" s="306"/>
      <c r="AC240" s="306"/>
      <c r="AD240" s="306"/>
    </row>
    <row r="241" spans="1:70" x14ac:dyDescent="0.25">
      <c r="AA241" s="306"/>
      <c r="AB241" s="306"/>
      <c r="AC241" s="306"/>
      <c r="AD241" s="306"/>
    </row>
    <row r="242" spans="1:70" x14ac:dyDescent="0.25">
      <c r="B242" s="913" t="s">
        <v>453</v>
      </c>
      <c r="C242" s="913" t="s">
        <v>454</v>
      </c>
      <c r="D242" s="913" t="s">
        <v>455</v>
      </c>
      <c r="E242" s="913" t="s">
        <v>456</v>
      </c>
      <c r="F242" s="913" t="s">
        <v>457</v>
      </c>
      <c r="G242" s="913" t="s">
        <v>458</v>
      </c>
      <c r="H242" s="913" t="s">
        <v>459</v>
      </c>
      <c r="I242" s="913" t="s">
        <v>460</v>
      </c>
      <c r="J242" s="913" t="s">
        <v>461</v>
      </c>
      <c r="K242" s="913" t="s">
        <v>462</v>
      </c>
      <c r="L242" s="913" t="s">
        <v>463</v>
      </c>
      <c r="M242" s="913" t="s">
        <v>464</v>
      </c>
      <c r="N242" s="913" t="s">
        <v>465</v>
      </c>
      <c r="O242" s="913" t="s">
        <v>466</v>
      </c>
      <c r="P242" s="913" t="s">
        <v>467</v>
      </c>
      <c r="Q242" s="913" t="s">
        <v>468</v>
      </c>
      <c r="R242" s="913" t="s">
        <v>469</v>
      </c>
      <c r="S242" s="913" t="s">
        <v>470</v>
      </c>
      <c r="T242" s="913" t="s">
        <v>471</v>
      </c>
      <c r="U242" s="913" t="s">
        <v>472</v>
      </c>
      <c r="V242" s="913" t="s">
        <v>604</v>
      </c>
      <c r="W242" s="913" t="s">
        <v>605</v>
      </c>
      <c r="X242" s="913" t="s">
        <v>606</v>
      </c>
      <c r="Y242" s="913" t="s">
        <v>607</v>
      </c>
      <c r="Z242" s="913"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06"/>
      <c r="AB243" s="306"/>
      <c r="AC243" s="306"/>
      <c r="AD243" s="306"/>
    </row>
    <row r="244" spans="1:70" x14ac:dyDescent="0.25">
      <c r="AA244" s="306"/>
      <c r="AB244" s="306"/>
      <c r="AC244" s="306"/>
      <c r="AD244" s="306"/>
    </row>
    <row r="245" spans="1:70" x14ac:dyDescent="0.25">
      <c r="A245" s="912" t="s">
        <v>473</v>
      </c>
      <c r="AA245" s="306"/>
      <c r="AB245" s="306"/>
      <c r="AC245" s="306"/>
      <c r="AD245" s="306"/>
    </row>
    <row r="246" spans="1:70" x14ac:dyDescent="0.25">
      <c r="A246" s="912" t="s">
        <v>609</v>
      </c>
      <c r="B246" s="914">
        <v>23.882804870605501</v>
      </c>
      <c r="C246" s="914">
        <v>24.973464965820298</v>
      </c>
      <c r="D246" s="914">
        <v>28.470840454101602</v>
      </c>
      <c r="E246" s="914">
        <v>21.505495071411101</v>
      </c>
      <c r="F246" s="914">
        <v>20.697200775146499</v>
      </c>
      <c r="G246" s="914">
        <v>23.0020751953125</v>
      </c>
      <c r="H246" s="914">
        <v>24.980747222900401</v>
      </c>
      <c r="I246" s="914">
        <v>26.7403888702393</v>
      </c>
      <c r="J246" s="914">
        <v>28.254840850830099</v>
      </c>
      <c r="K246" s="914">
        <v>29.8807067871094</v>
      </c>
      <c r="L246" s="914">
        <v>30.930690765380898</v>
      </c>
      <c r="M246" s="914">
        <v>31.804765701293899</v>
      </c>
      <c r="N246" s="914">
        <v>32.682899475097699</v>
      </c>
      <c r="O246" s="914">
        <v>33.084945678710902</v>
      </c>
      <c r="P246" s="914">
        <v>33.339298248291001</v>
      </c>
      <c r="Q246" s="914">
        <v>33.569530487060497</v>
      </c>
      <c r="R246" s="914">
        <v>33.692008972167997</v>
      </c>
      <c r="S246" s="914">
        <v>34.029460906982401</v>
      </c>
      <c r="T246" s="914">
        <v>34.165733337402301</v>
      </c>
      <c r="U246" s="914">
        <v>33.722698211669901</v>
      </c>
      <c r="V246" s="914">
        <v>33.999015808105497</v>
      </c>
      <c r="W246" s="914">
        <v>34.276668548583999</v>
      </c>
      <c r="X246" s="914">
        <v>34.616855621337898</v>
      </c>
      <c r="Y246" s="914">
        <v>34.804977416992202</v>
      </c>
      <c r="Z246" s="914">
        <v>35.163482666015597</v>
      </c>
      <c r="AA246" s="306">
        <v>23.653226852416999</v>
      </c>
      <c r="AB246" s="306">
        <v>23.781959533691399</v>
      </c>
      <c r="AC246" s="306">
        <v>23.869001388549801</v>
      </c>
      <c r="AD246" s="306">
        <v>23.909082412719702</v>
      </c>
    </row>
    <row r="247" spans="1:70" x14ac:dyDescent="0.25">
      <c r="A247" s="912" t="s">
        <v>610</v>
      </c>
      <c r="B247" s="914">
        <v>18.4642543792725</v>
      </c>
      <c r="C247" s="914">
        <v>19.664405822753899</v>
      </c>
      <c r="D247" s="914">
        <v>23.940315246581999</v>
      </c>
      <c r="E247" s="914">
        <v>15.6857194900513</v>
      </c>
      <c r="F247" s="914">
        <v>13.3512983322144</v>
      </c>
      <c r="G247" s="914">
        <v>15.708171844482401</v>
      </c>
      <c r="H247" s="914">
        <v>17.491518020629901</v>
      </c>
      <c r="I247" s="914">
        <v>18.8044624328613</v>
      </c>
      <c r="J247" s="914">
        <v>20.071212768554702</v>
      </c>
      <c r="K247" s="914">
        <v>21.571735382080099</v>
      </c>
      <c r="L247" s="914">
        <v>22.444984436035199</v>
      </c>
      <c r="M247" s="914">
        <v>23.2645053863525</v>
      </c>
      <c r="N247" s="914">
        <v>23.975505828857401</v>
      </c>
      <c r="O247" s="914">
        <v>24.350082397460898</v>
      </c>
      <c r="P247" s="914">
        <v>24.6401481628418</v>
      </c>
      <c r="Q247" s="914">
        <v>24.7862453460693</v>
      </c>
      <c r="R247" s="914">
        <v>24.899822235107401</v>
      </c>
      <c r="S247" s="914">
        <v>25.1952934265137</v>
      </c>
      <c r="T247" s="914">
        <v>25.492937088012699</v>
      </c>
      <c r="U247" s="914">
        <v>25.134300231933601</v>
      </c>
      <c r="V247" s="914">
        <v>25.433099746704102</v>
      </c>
      <c r="W247" s="914">
        <v>25.7546691894531</v>
      </c>
      <c r="X247" s="914">
        <v>26.098386764526399</v>
      </c>
      <c r="Y247" s="914">
        <v>26.3820476531982</v>
      </c>
      <c r="Z247" s="914">
        <v>26.7700805664063</v>
      </c>
      <c r="AA247" s="306">
        <v>13.801754951477101</v>
      </c>
      <c r="AB247" s="306">
        <v>13.897899627685501</v>
      </c>
      <c r="AC247" s="306">
        <v>14.058331489563001</v>
      </c>
      <c r="AD247" s="306">
        <v>14.125551223754901</v>
      </c>
    </row>
    <row r="248" spans="1:70" x14ac:dyDescent="0.25">
      <c r="A248" s="912" t="s">
        <v>510</v>
      </c>
      <c r="B248" s="914">
        <v>13.7000589370728</v>
      </c>
      <c r="C248" s="914">
        <v>12.691158294677701</v>
      </c>
      <c r="D248" s="914">
        <v>12.9778490066528</v>
      </c>
      <c r="E248" s="914">
        <v>10.717614173889199</v>
      </c>
      <c r="F248" s="914">
        <v>11.192774772644</v>
      </c>
      <c r="G248" s="914">
        <v>11.487280845642101</v>
      </c>
      <c r="H248" s="914">
        <v>11.3991556167603</v>
      </c>
      <c r="I248" s="914">
        <v>11.307798385620099</v>
      </c>
      <c r="J248" s="914">
        <v>11.2896461486816</v>
      </c>
      <c r="K248" s="914">
        <v>11.345415115356399</v>
      </c>
      <c r="L248" s="914">
        <v>11.538298606872599</v>
      </c>
      <c r="M248" s="914">
        <v>11.7583208084106</v>
      </c>
      <c r="N248" s="914">
        <v>11.975100517272899</v>
      </c>
      <c r="O248" s="914">
        <v>12.23952293396</v>
      </c>
      <c r="P248" s="914">
        <v>12.557071685791</v>
      </c>
      <c r="Q248" s="914">
        <v>12.7957820892334</v>
      </c>
      <c r="R248" s="914">
        <v>12.871651649475099</v>
      </c>
      <c r="S248" s="914">
        <v>12.660281181335399</v>
      </c>
      <c r="T248" s="914">
        <v>12.6240320205688</v>
      </c>
      <c r="U248" s="914">
        <v>12.5992183685303</v>
      </c>
      <c r="V248" s="914">
        <v>12.7868556976318</v>
      </c>
      <c r="W248" s="914">
        <v>13.07555103302</v>
      </c>
      <c r="X248" s="914">
        <v>13.407883644104</v>
      </c>
      <c r="Y248" s="914">
        <v>13.6725673675537</v>
      </c>
      <c r="Z248" s="914">
        <v>13.962038993835399</v>
      </c>
      <c r="AA248" s="306">
        <v>11.116808891296399</v>
      </c>
      <c r="AB248" s="306">
        <v>11.2574377059937</v>
      </c>
      <c r="AC248" s="306">
        <v>11.3709173202515</v>
      </c>
      <c r="AD248" s="306">
        <v>11.426144599914601</v>
      </c>
    </row>
    <row r="249" spans="1:70" x14ac:dyDescent="0.25">
      <c r="A249" s="912" t="s">
        <v>479</v>
      </c>
      <c r="B249" s="914">
        <v>31.206779479980501</v>
      </c>
      <c r="C249" s="914">
        <v>31.181957244873001</v>
      </c>
      <c r="D249" s="914">
        <v>31.772819519043001</v>
      </c>
      <c r="E249" s="914">
        <v>30.736837387085</v>
      </c>
      <c r="F249" s="914">
        <v>28.616357803344702</v>
      </c>
      <c r="G249" s="914">
        <v>29.873619079589801</v>
      </c>
      <c r="H249" s="914">
        <v>30.101655960083001</v>
      </c>
      <c r="I249" s="914">
        <v>30.425390243530298</v>
      </c>
      <c r="J249" s="914">
        <v>30.7938537597656</v>
      </c>
      <c r="K249" s="914">
        <v>30.883028030395501</v>
      </c>
      <c r="L249" s="914">
        <v>31.149145126342798</v>
      </c>
      <c r="M249" s="914">
        <v>31.4898681640625</v>
      </c>
      <c r="N249" s="914">
        <v>31.815629959106399</v>
      </c>
      <c r="O249" s="914">
        <v>32.020698547363303</v>
      </c>
      <c r="P249" s="914">
        <v>32.4303588867188</v>
      </c>
      <c r="Q249" s="914">
        <v>32.7907905578613</v>
      </c>
      <c r="R249" s="914">
        <v>32.994007110595703</v>
      </c>
      <c r="S249" s="914">
        <v>32.923465728759801</v>
      </c>
      <c r="T249" s="914">
        <v>32.920154571533203</v>
      </c>
      <c r="U249" s="914">
        <v>32.902271270752003</v>
      </c>
      <c r="V249" s="914">
        <v>32.958240509033203</v>
      </c>
      <c r="W249" s="914">
        <v>33.321102142333999</v>
      </c>
      <c r="X249" s="914">
        <v>33.734363555908203</v>
      </c>
      <c r="Y249" s="914">
        <v>34.149539947509801</v>
      </c>
      <c r="Z249" s="914">
        <v>34.490489959716797</v>
      </c>
      <c r="AA249" s="306">
        <v>26.5695495605469</v>
      </c>
      <c r="AB249" s="306">
        <v>26.6057014465332</v>
      </c>
      <c r="AC249" s="306">
        <v>26.7373046875</v>
      </c>
      <c r="AD249" s="306">
        <v>26.757972717285199</v>
      </c>
    </row>
    <row r="250" spans="1:70" x14ac:dyDescent="0.25">
      <c r="AA250" s="306"/>
      <c r="AB250" s="306"/>
      <c r="AC250" s="306"/>
      <c r="AD250" s="306"/>
    </row>
    <row r="251" spans="1:70" x14ac:dyDescent="0.25">
      <c r="A251" s="912" t="s">
        <v>480</v>
      </c>
      <c r="AA251" s="306">
        <v>12.0537929534912</v>
      </c>
      <c r="AB251" s="306">
        <v>12.2529897689819</v>
      </c>
      <c r="AC251" s="306">
        <v>12.3258762359619</v>
      </c>
      <c r="AD251" s="306">
        <v>12.452996253967299</v>
      </c>
    </row>
    <row r="252" spans="1:70" ht="13" thickBot="1" x14ac:dyDescent="0.3">
      <c r="A252" s="912" t="s">
        <v>609</v>
      </c>
      <c r="B252" s="914">
        <v>21.1974983215332</v>
      </c>
      <c r="C252" s="914">
        <v>23.041419982910199</v>
      </c>
      <c r="D252" s="914">
        <v>23.540430068969702</v>
      </c>
      <c r="E252" s="914">
        <v>20.975297927856399</v>
      </c>
      <c r="F252" s="914">
        <v>17.540355682373001</v>
      </c>
      <c r="G252" s="914">
        <v>19.827720642089801</v>
      </c>
      <c r="H252" s="914">
        <v>21.7962131500244</v>
      </c>
      <c r="I252" s="914">
        <v>23.5440998077393</v>
      </c>
      <c r="J252" s="914">
        <v>25.047388076782202</v>
      </c>
      <c r="K252" s="914">
        <v>26.6623840332031</v>
      </c>
      <c r="L252" s="914">
        <v>27.701774597168001</v>
      </c>
      <c r="M252" s="914">
        <v>28.565574645996101</v>
      </c>
      <c r="N252" s="914">
        <v>29.4346523284912</v>
      </c>
      <c r="O252" s="914">
        <v>29.8274021148682</v>
      </c>
      <c r="P252" s="914">
        <v>30.0731811523438</v>
      </c>
      <c r="Q252" s="914">
        <v>30.2960014343262</v>
      </c>
      <c r="R252" s="914">
        <v>30.4115695953369</v>
      </c>
      <c r="S252" s="914">
        <v>30.7421360015869</v>
      </c>
      <c r="T252" s="914">
        <v>30.871879577636701</v>
      </c>
      <c r="U252" s="914">
        <v>30.422807693481399</v>
      </c>
      <c r="V252" s="914">
        <v>30.6932373046875</v>
      </c>
      <c r="W252" s="914">
        <v>30.965314865112301</v>
      </c>
      <c r="X252" s="914">
        <v>31.299940109252901</v>
      </c>
      <c r="Y252" s="914">
        <v>31.482862472534201</v>
      </c>
      <c r="Z252" s="914">
        <v>31.836189270019499</v>
      </c>
      <c r="AA252" s="306">
        <v>7.3951959609985396</v>
      </c>
      <c r="AB252" s="306">
        <v>7.4624595642089799</v>
      </c>
      <c r="AC252" s="306">
        <v>7.2386937141418501</v>
      </c>
      <c r="AD252" s="306">
        <v>7.3113985061645499</v>
      </c>
    </row>
    <row r="253" spans="1:70" ht="13" thickBot="1" x14ac:dyDescent="0.3">
      <c r="A253" s="912" t="s">
        <v>610</v>
      </c>
      <c r="B253" s="914">
        <v>15.019946098327599</v>
      </c>
      <c r="C253" s="914">
        <v>16.054100036621101</v>
      </c>
      <c r="D253" s="914">
        <v>20.9568576812744</v>
      </c>
      <c r="E253" s="914">
        <v>13.740292549133301</v>
      </c>
      <c r="F253" s="914">
        <v>10.759732246398899</v>
      </c>
      <c r="G253" s="914">
        <v>13.277551651001</v>
      </c>
      <c r="H253" s="914">
        <v>15.102119445800801</v>
      </c>
      <c r="I253" s="914">
        <v>16.819028854370099</v>
      </c>
      <c r="J253" s="914">
        <v>18.163129806518601</v>
      </c>
      <c r="K253" s="914">
        <v>19.404659271240199</v>
      </c>
      <c r="L253" s="914">
        <v>20.2805690765381</v>
      </c>
      <c r="M253" s="914">
        <v>21.141357421875</v>
      </c>
      <c r="N253" s="914">
        <v>21.870569229126001</v>
      </c>
      <c r="O253" s="914">
        <v>22.288406372070298</v>
      </c>
      <c r="P253" s="914">
        <v>22.606428146362301</v>
      </c>
      <c r="Q253" s="914">
        <v>22.643785476684599</v>
      </c>
      <c r="R253" s="914">
        <v>22.862098693847699</v>
      </c>
      <c r="S253" s="914">
        <v>23.111530303955099</v>
      </c>
      <c r="T253" s="914">
        <v>23.2818489074707</v>
      </c>
      <c r="U253" s="914">
        <v>23.1139316558838</v>
      </c>
      <c r="V253" s="914">
        <v>23.4434604644775</v>
      </c>
      <c r="W253" s="914">
        <v>23.529294967651399</v>
      </c>
      <c r="X253" s="914">
        <v>23.9437866210938</v>
      </c>
      <c r="Y253" s="914">
        <v>24.471529006958001</v>
      </c>
      <c r="Z253" s="914">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 thickBot="1" x14ac:dyDescent="0.3">
      <c r="A254" s="912" t="s">
        <v>723</v>
      </c>
      <c r="B254" s="914">
        <v>8.8815975189209002</v>
      </c>
      <c r="C254" s="914">
        <v>10.3074436187744</v>
      </c>
      <c r="D254" s="914">
        <v>13.411918640136699</v>
      </c>
      <c r="E254" s="914">
        <v>6.6991925239562997</v>
      </c>
      <c r="F254" s="914">
        <v>5.8016228675842303</v>
      </c>
      <c r="G254" s="914">
        <v>8.5975322723388707</v>
      </c>
      <c r="H254" s="914">
        <v>10.1285858154297</v>
      </c>
      <c r="I254" s="914">
        <v>11.654000282287599</v>
      </c>
      <c r="J254" s="914">
        <v>12.9474182128906</v>
      </c>
      <c r="K254" s="914">
        <v>14.400235176086399</v>
      </c>
      <c r="L254" s="914">
        <v>15.2041673660278</v>
      </c>
      <c r="M254" s="914">
        <v>15.658245086669901</v>
      </c>
      <c r="N254" s="914">
        <v>16.352220535278299</v>
      </c>
      <c r="O254" s="914">
        <v>16.605510711669901</v>
      </c>
      <c r="P254" s="914">
        <v>16.856744766235401</v>
      </c>
      <c r="Q254" s="914">
        <v>17.043632507324201</v>
      </c>
      <c r="R254" s="914">
        <v>17.1953125</v>
      </c>
      <c r="S254" s="914">
        <v>17.403110504150401</v>
      </c>
      <c r="T254" s="914">
        <v>17.4520969390869</v>
      </c>
      <c r="U254" s="914">
        <v>17.016120910644499</v>
      </c>
      <c r="V254" s="914">
        <v>17.163618087768601</v>
      </c>
      <c r="W254" s="914">
        <v>17.311967849731399</v>
      </c>
      <c r="X254" s="914">
        <v>17.516565322876001</v>
      </c>
      <c r="Y254" s="914">
        <v>17.704761505126999</v>
      </c>
      <c r="Z254" s="914">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5">
      <c r="A255" s="912" t="s">
        <v>510</v>
      </c>
      <c r="B255" s="914">
        <v>11.896094322204601</v>
      </c>
      <c r="C255" s="914">
        <v>10.9898433685303</v>
      </c>
      <c r="D255" s="914">
        <v>11.3387994766235</v>
      </c>
      <c r="E255" s="914">
        <v>8.9075946807861293</v>
      </c>
      <c r="F255" s="914">
        <v>9.4656057357788104</v>
      </c>
      <c r="G255" s="914">
        <v>9.7463216781616193</v>
      </c>
      <c r="H255" s="914">
        <v>9.7210922241210902</v>
      </c>
      <c r="I255" s="914">
        <v>9.6719341278076207</v>
      </c>
      <c r="J255" s="914">
        <v>9.7138872146606392</v>
      </c>
      <c r="K255" s="914">
        <v>9.8306560516357404</v>
      </c>
      <c r="L255" s="914">
        <v>10.038209915161101</v>
      </c>
      <c r="M255" s="914">
        <v>10.2545003890991</v>
      </c>
      <c r="N255" s="914">
        <v>10.476261138916</v>
      </c>
      <c r="O255" s="914">
        <v>10.746561050415</v>
      </c>
      <c r="P255" s="914">
        <v>11.0803880691528</v>
      </c>
      <c r="Q255" s="914">
        <v>11.314369201660201</v>
      </c>
      <c r="R255" s="914">
        <v>11.4017143249512</v>
      </c>
      <c r="S255" s="914">
        <v>11.212500572204601</v>
      </c>
      <c r="T255" s="914">
        <v>11.1975994110107</v>
      </c>
      <c r="U255" s="914">
        <v>11.159740447998001</v>
      </c>
      <c r="V255" s="914">
        <v>11.3503875732422</v>
      </c>
      <c r="W255" s="914">
        <v>11.640952110290501</v>
      </c>
      <c r="X255" s="914">
        <v>11.9785671234131</v>
      </c>
      <c r="Y255" s="914">
        <v>12.2332496643066</v>
      </c>
      <c r="Z255" s="914">
        <v>12.5188312530518</v>
      </c>
      <c r="AA255" s="306"/>
      <c r="AB255" s="306"/>
      <c r="AC255" s="306"/>
      <c r="AD255" s="306"/>
    </row>
    <row r="256" spans="1:70" x14ac:dyDescent="0.25">
      <c r="A256" s="912" t="s">
        <v>479</v>
      </c>
      <c r="B256" s="914">
        <v>28.3762531280518</v>
      </c>
      <c r="C256" s="914">
        <v>28.029735565185501</v>
      </c>
      <c r="D256" s="914">
        <v>29.057315826416001</v>
      </c>
      <c r="E256" s="914">
        <v>27.6067714691162</v>
      </c>
      <c r="F256" s="914">
        <v>24.835584640502901</v>
      </c>
      <c r="G256" s="914">
        <v>25.581251144409201</v>
      </c>
      <c r="H256" s="914">
        <v>25.4402256011963</v>
      </c>
      <c r="I256" s="914">
        <v>25.470129013061499</v>
      </c>
      <c r="J256" s="914">
        <v>25.672283172607401</v>
      </c>
      <c r="K256" s="914">
        <v>25.763282775878899</v>
      </c>
      <c r="L256" s="914">
        <v>26.100669860839801</v>
      </c>
      <c r="M256" s="914">
        <v>26.468044281005898</v>
      </c>
      <c r="N256" s="914">
        <v>26.885612487793001</v>
      </c>
      <c r="O256" s="914">
        <v>27.169450759887699</v>
      </c>
      <c r="P256" s="914">
        <v>27.620109558105501</v>
      </c>
      <c r="Q256" s="914">
        <v>28.002447128295898</v>
      </c>
      <c r="R256" s="914">
        <v>28.245407104492202</v>
      </c>
      <c r="S256" s="914">
        <v>28.186374664306602</v>
      </c>
      <c r="T256" s="914">
        <v>28.203248977661101</v>
      </c>
      <c r="U256" s="914">
        <v>28.139711380004901</v>
      </c>
      <c r="V256" s="914">
        <v>28.178466796875</v>
      </c>
      <c r="W256" s="914">
        <v>28.495182037353501</v>
      </c>
      <c r="X256" s="914">
        <v>28.915565490722699</v>
      </c>
      <c r="Y256" s="914">
        <v>29.289411544799801</v>
      </c>
      <c r="Z256" s="914">
        <v>29.651695251464801</v>
      </c>
      <c r="AA256" s="306">
        <v>16.318952560424801</v>
      </c>
      <c r="AB256" s="306">
        <v>16.4172878265381</v>
      </c>
      <c r="AC256" s="306">
        <v>16.5084934234619</v>
      </c>
      <c r="AD256" s="306">
        <v>16.549221038818398</v>
      </c>
    </row>
    <row r="257" spans="1:70" x14ac:dyDescent="0.25">
      <c r="AA257" s="306">
        <v>12.788073539733899</v>
      </c>
      <c r="AB257" s="306">
        <v>13.069622039794901</v>
      </c>
      <c r="AC257" s="306">
        <v>13.0597486495972</v>
      </c>
      <c r="AD257" s="306">
        <v>13.2463188171387</v>
      </c>
    </row>
    <row r="258" spans="1:70" ht="13" thickBot="1" x14ac:dyDescent="0.3">
      <c r="A258" s="912" t="s">
        <v>612</v>
      </c>
      <c r="AA258" s="306">
        <v>9.5039434432983398</v>
      </c>
      <c r="AB258" s="306">
        <v>9.4975557327270508</v>
      </c>
      <c r="AC258" s="306">
        <v>9.6068582534790004</v>
      </c>
      <c r="AD258" s="306">
        <v>9.5831336975097692</v>
      </c>
    </row>
    <row r="259" spans="1:70" ht="13" thickBot="1" x14ac:dyDescent="0.3">
      <c r="A259" s="912" t="s">
        <v>609</v>
      </c>
      <c r="B259" s="914">
        <v>21.041078567504901</v>
      </c>
      <c r="C259" s="914">
        <v>23.3795166015625</v>
      </c>
      <c r="D259" s="914">
        <v>26.646581649780298</v>
      </c>
      <c r="E259" s="914">
        <v>22.2440700531006</v>
      </c>
      <c r="F259" s="914">
        <v>16.6379299163818</v>
      </c>
      <c r="G259" s="914">
        <v>18.920274734497099</v>
      </c>
      <c r="H259" s="914">
        <v>20.8892612457275</v>
      </c>
      <c r="I259" s="914">
        <v>22.636520385742202</v>
      </c>
      <c r="J259" s="914">
        <v>24.1346244812012</v>
      </c>
      <c r="K259" s="914">
        <v>25.742292404174801</v>
      </c>
      <c r="L259" s="914">
        <v>26.783767700195298</v>
      </c>
      <c r="M259" s="914">
        <v>27.652248382568398</v>
      </c>
      <c r="N259" s="914">
        <v>28.520401000976602</v>
      </c>
      <c r="O259" s="914">
        <v>28.932659149169901</v>
      </c>
      <c r="P259" s="914">
        <v>29.169765472412099</v>
      </c>
      <c r="Q259" s="914">
        <v>29.4143581390381</v>
      </c>
      <c r="R259" s="914">
        <v>29.524629592895501</v>
      </c>
      <c r="S259" s="914">
        <v>29.853767395019499</v>
      </c>
      <c r="T259" s="914">
        <v>29.959171295166001</v>
      </c>
      <c r="U259" s="914">
        <v>29.528638839721701</v>
      </c>
      <c r="V259" s="914">
        <v>29.7813510894775</v>
      </c>
      <c r="W259" s="914">
        <v>30.054143905639599</v>
      </c>
      <c r="X259" s="914">
        <v>30.3852443695068</v>
      </c>
      <c r="Y259" s="914">
        <v>30.4649448394775</v>
      </c>
      <c r="Z259" s="914">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5">
      <c r="A260" s="912" t="s">
        <v>610</v>
      </c>
      <c r="B260" s="914">
        <v>15.7354278564453</v>
      </c>
      <c r="C260" s="914">
        <v>16.8219394683838</v>
      </c>
      <c r="D260" s="914">
        <v>21.937858581543001</v>
      </c>
      <c r="E260" s="914">
        <v>14.291754722595201</v>
      </c>
      <c r="F260" s="914">
        <v>10.6247463226318</v>
      </c>
      <c r="G260" s="914">
        <v>13.4027051925659</v>
      </c>
      <c r="H260" s="914">
        <v>15.2648477554321</v>
      </c>
      <c r="I260" s="914">
        <v>17.266075134277301</v>
      </c>
      <c r="J260" s="914">
        <v>18.658037185668899</v>
      </c>
      <c r="K260" s="914">
        <v>19.740333557128899</v>
      </c>
      <c r="L260" s="914">
        <v>20.622322082519499</v>
      </c>
      <c r="M260" s="914">
        <v>21.514814376831101</v>
      </c>
      <c r="N260" s="914">
        <v>22.261856079101602</v>
      </c>
      <c r="O260" s="914">
        <v>22.720048904418899</v>
      </c>
      <c r="P260" s="914">
        <v>23.0620517730713</v>
      </c>
      <c r="Q260" s="914">
        <v>23.029100418090799</v>
      </c>
      <c r="R260" s="914">
        <v>23.327865600585898</v>
      </c>
      <c r="S260" s="914">
        <v>23.5460414886475</v>
      </c>
      <c r="T260" s="914">
        <v>23.635374069213899</v>
      </c>
      <c r="U260" s="914">
        <v>23.588466644287099</v>
      </c>
      <c r="V260" s="914">
        <v>23.9423828125</v>
      </c>
      <c r="W260" s="914">
        <v>23.870851516723601</v>
      </c>
      <c r="X260" s="914">
        <v>24.336980819702099</v>
      </c>
      <c r="Y260" s="914">
        <v>25.037542343139599</v>
      </c>
      <c r="Z260" s="914">
        <v>25.073137283325199</v>
      </c>
      <c r="AA260" s="306">
        <v>2.7168338298797599</v>
      </c>
      <c r="AB260" s="306">
        <v>2.7307398319244398</v>
      </c>
      <c r="AC260" s="306">
        <v>2.7413196563720699</v>
      </c>
      <c r="AD260" s="306">
        <v>2.7546591758728001</v>
      </c>
    </row>
    <row r="261" spans="1:70" x14ac:dyDescent="0.25">
      <c r="A261" s="912" t="s">
        <v>611</v>
      </c>
      <c r="B261" s="914">
        <v>9.2125787734985405</v>
      </c>
      <c r="C261" s="914">
        <v>10.5954837799072</v>
      </c>
      <c r="D261" s="914">
        <v>13.7473258972168</v>
      </c>
      <c r="E261" s="914">
        <v>6.9127345085143999</v>
      </c>
      <c r="F261" s="914">
        <v>9.8444128036499006</v>
      </c>
      <c r="G261" s="914">
        <v>12.2499532699585</v>
      </c>
      <c r="H261" s="914">
        <v>13.9352369308472</v>
      </c>
      <c r="I261" s="914">
        <v>15.428977966308601</v>
      </c>
      <c r="J261" s="914">
        <v>16.646518707275401</v>
      </c>
      <c r="K261" s="914">
        <v>18.037969589233398</v>
      </c>
      <c r="L261" s="914">
        <v>18.8180332183838</v>
      </c>
      <c r="M261" s="914">
        <v>19.4296264648438</v>
      </c>
      <c r="N261" s="914">
        <v>20.112428665161101</v>
      </c>
      <c r="O261" s="914">
        <v>20.448431015014599</v>
      </c>
      <c r="P261" s="914">
        <v>20.727931976318398</v>
      </c>
      <c r="Q261" s="914">
        <v>20.973798751831101</v>
      </c>
      <c r="R261" s="914">
        <v>21.101537704467798</v>
      </c>
      <c r="S261" s="914">
        <v>21.306892395019499</v>
      </c>
      <c r="T261" s="914">
        <v>21.394767761230501</v>
      </c>
      <c r="U261" s="914">
        <v>21.017236709594702</v>
      </c>
      <c r="V261" s="914">
        <v>21.180326461791999</v>
      </c>
      <c r="W261" s="914">
        <v>21.338615417480501</v>
      </c>
      <c r="X261" s="914">
        <v>21.660650253295898</v>
      </c>
      <c r="Y261" s="914">
        <v>21.793584823608398</v>
      </c>
      <c r="Z261" s="914">
        <v>22.078443527221701</v>
      </c>
      <c r="AA261" s="306">
        <v>2.2517027854919398</v>
      </c>
      <c r="AB261" s="306">
        <v>2.2682161331176802</v>
      </c>
      <c r="AC261" s="306">
        <v>2.2745745182037398</v>
      </c>
      <c r="AD261" s="306">
        <v>2.2862651348114</v>
      </c>
    </row>
    <row r="262" spans="1:70" ht="13" thickBot="1" x14ac:dyDescent="0.3">
      <c r="A262" s="912" t="s">
        <v>613</v>
      </c>
      <c r="B262" s="914">
        <v>7.9540700912475604</v>
      </c>
      <c r="C262" s="914">
        <v>7.5152516365051296</v>
      </c>
      <c r="D262" s="914">
        <v>8.8012723922729492</v>
      </c>
      <c r="E262" s="914">
        <v>4.8485679626464799</v>
      </c>
      <c r="F262" s="914">
        <v>5.4989199638366699</v>
      </c>
      <c r="G262" s="914">
        <v>5.8261642456054696</v>
      </c>
      <c r="H262" s="914">
        <v>5.87778615951538</v>
      </c>
      <c r="I262" s="914">
        <v>5.9538393020629901</v>
      </c>
      <c r="J262" s="914">
        <v>6.1098570823669398</v>
      </c>
      <c r="K262" s="914">
        <v>6.3294844627380398</v>
      </c>
      <c r="L262" s="914">
        <v>6.5125813484191903</v>
      </c>
      <c r="M262" s="914">
        <v>6.7027301788330096</v>
      </c>
      <c r="N262" s="914">
        <v>6.8988709449768102</v>
      </c>
      <c r="O262" s="914">
        <v>7.1528282165527299</v>
      </c>
      <c r="P262" s="914">
        <v>7.4686021804809597</v>
      </c>
      <c r="Q262" s="914">
        <v>7.6786775588989302</v>
      </c>
      <c r="R262" s="914">
        <v>7.7538070678710902</v>
      </c>
      <c r="S262" s="914">
        <v>7.5584783554077104</v>
      </c>
      <c r="T262" s="914">
        <v>7.5461778640747097</v>
      </c>
      <c r="U262" s="914">
        <v>7.4592709541320801</v>
      </c>
      <c r="V262" s="914">
        <v>7.6002230644226101</v>
      </c>
      <c r="W262" s="914">
        <v>7.8596048355102504</v>
      </c>
      <c r="X262" s="914">
        <v>8.1941757202148402</v>
      </c>
      <c r="Y262" s="914">
        <v>8.4216127395629901</v>
      </c>
      <c r="Z262" s="914">
        <v>8.6935501098632795</v>
      </c>
      <c r="AA262" s="306">
        <v>1.2833950519561801</v>
      </c>
      <c r="AB262" s="306">
        <v>1.3286876678466799</v>
      </c>
      <c r="AC262" s="306">
        <v>1.33012855052948</v>
      </c>
      <c r="AD262" s="306">
        <v>1.33445107936859</v>
      </c>
    </row>
    <row r="263" spans="1:70" ht="13" thickBot="1" x14ac:dyDescent="0.3">
      <c r="A263" s="912" t="s">
        <v>614</v>
      </c>
      <c r="B263" s="914">
        <v>3.6353600025177002</v>
      </c>
      <c r="C263" s="914">
        <v>3.6099998950958301</v>
      </c>
      <c r="D263" s="914">
        <v>4.0558156967163104</v>
      </c>
      <c r="E263" s="914">
        <v>4.0487108230590803</v>
      </c>
      <c r="F263" s="914">
        <v>3.9977276325225799</v>
      </c>
      <c r="G263" s="914">
        <v>4.1121706962585396</v>
      </c>
      <c r="H263" s="914">
        <v>4.1809573173522896</v>
      </c>
      <c r="I263" s="914">
        <v>4.2343683242797896</v>
      </c>
      <c r="J263" s="914">
        <v>4.27162742614746</v>
      </c>
      <c r="K263" s="914">
        <v>4.2985162734985396</v>
      </c>
      <c r="L263" s="914">
        <v>4.3192996978759801</v>
      </c>
      <c r="M263" s="914">
        <v>4.3337044715881303</v>
      </c>
      <c r="N263" s="914">
        <v>4.3530845642089799</v>
      </c>
      <c r="O263" s="914">
        <v>4.3696141242981001</v>
      </c>
      <c r="P263" s="914">
        <v>4.3899216651916504</v>
      </c>
      <c r="Q263" s="914">
        <v>4.4470157623290998</v>
      </c>
      <c r="R263" s="914">
        <v>4.5093812942504901</v>
      </c>
      <c r="S263" s="914">
        <v>4.5352845191955602</v>
      </c>
      <c r="T263" s="914">
        <v>4.5618190765380904</v>
      </c>
      <c r="U263" s="914">
        <v>4.5643453598022496</v>
      </c>
      <c r="V263" s="914">
        <v>4.5493078231811497</v>
      </c>
      <c r="W263" s="914">
        <v>4.5490665435790998</v>
      </c>
      <c r="X263" s="914">
        <v>4.5331215858459499</v>
      </c>
      <c r="Y263" s="914">
        <v>4.4955492019653303</v>
      </c>
      <c r="Z263" s="914">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5">
      <c r="A264" s="912" t="s">
        <v>615</v>
      </c>
      <c r="B264" s="914">
        <v>2.4029970169067401</v>
      </c>
      <c r="C264" s="914">
        <v>2.4299483299255402</v>
      </c>
      <c r="D264" s="914">
        <v>2.5420303344726598</v>
      </c>
      <c r="E264" s="914">
        <v>2.4490520954132098</v>
      </c>
      <c r="F264" s="914">
        <v>2.3906834125518799</v>
      </c>
      <c r="G264" s="914">
        <v>2.4765830039978001</v>
      </c>
      <c r="H264" s="914">
        <v>2.4936084747314502</v>
      </c>
      <c r="I264" s="914">
        <v>2.5247271060943599</v>
      </c>
      <c r="J264" s="914">
        <v>2.54471778869629</v>
      </c>
      <c r="K264" s="914">
        <v>2.53918480873108</v>
      </c>
      <c r="L264" s="914">
        <v>2.54552221298218</v>
      </c>
      <c r="M264" s="914">
        <v>2.5526983737945601</v>
      </c>
      <c r="N264" s="914">
        <v>2.5639333724975599</v>
      </c>
      <c r="O264" s="914">
        <v>2.5611753463745099</v>
      </c>
      <c r="P264" s="914">
        <v>2.56861472129822</v>
      </c>
      <c r="Q264" s="914">
        <v>2.5710935592651398</v>
      </c>
      <c r="R264" s="914">
        <v>2.57420825958252</v>
      </c>
      <c r="S264" s="914">
        <v>2.5741758346557599</v>
      </c>
      <c r="T264" s="914">
        <v>2.5788726806640598</v>
      </c>
      <c r="U264" s="914">
        <v>2.5789062976837198</v>
      </c>
      <c r="V264" s="914">
        <v>2.59378290176392</v>
      </c>
      <c r="W264" s="914">
        <v>2.6088099479675302</v>
      </c>
      <c r="X264" s="914">
        <v>2.6259028911590598</v>
      </c>
      <c r="Y264" s="914">
        <v>2.64452123641968</v>
      </c>
      <c r="Z264" s="914">
        <v>2.6644773483276398</v>
      </c>
      <c r="AA264" s="306"/>
      <c r="AB264" s="306"/>
      <c r="AC264" s="306"/>
      <c r="AD264" s="306"/>
    </row>
    <row r="265" spans="1:70" ht="13" thickBot="1" x14ac:dyDescent="0.3">
      <c r="A265" s="912" t="s">
        <v>616</v>
      </c>
      <c r="B265" s="914">
        <v>0</v>
      </c>
      <c r="C265" s="914">
        <v>0</v>
      </c>
      <c r="D265" s="914">
        <v>0</v>
      </c>
      <c r="E265" s="914">
        <v>0</v>
      </c>
      <c r="F265" s="914">
        <v>0</v>
      </c>
      <c r="G265" s="914">
        <v>1.5133428573608401</v>
      </c>
      <c r="H265" s="914">
        <v>1.3742095232009901</v>
      </c>
      <c r="I265" s="914">
        <v>1.19064140319824</v>
      </c>
      <c r="J265" s="914">
        <v>1.3664953708648699</v>
      </c>
      <c r="K265" s="914">
        <v>1.33487153053284</v>
      </c>
      <c r="L265" s="914">
        <v>1.31654036045074</v>
      </c>
      <c r="M265" s="914">
        <v>1.30223417282104</v>
      </c>
      <c r="N265" s="914">
        <v>1.30838906764984</v>
      </c>
      <c r="O265" s="914">
        <v>1.32146644592285</v>
      </c>
      <c r="P265" s="914">
        <v>1.3489345312118499</v>
      </c>
      <c r="Q265" s="914">
        <v>1.3524934053421001</v>
      </c>
      <c r="R265" s="914">
        <v>1.3570195436477701</v>
      </c>
      <c r="S265" s="914">
        <v>1.3626403808593801</v>
      </c>
      <c r="T265" s="914">
        <v>1.37119424343109</v>
      </c>
      <c r="U265" s="914">
        <v>1.3635557889938399</v>
      </c>
      <c r="V265" s="914">
        <v>1.3662919998168901</v>
      </c>
      <c r="W265" s="914">
        <v>1.37254309654236</v>
      </c>
      <c r="X265" s="914">
        <v>1.37609398365021</v>
      </c>
      <c r="Y265" s="914">
        <v>1.3784751892089799</v>
      </c>
      <c r="Z265" s="914">
        <v>1.3805129528045701</v>
      </c>
      <c r="AA265" s="306">
        <v>24.056577682495099</v>
      </c>
      <c r="AB265" s="306">
        <v>24.1739406585693</v>
      </c>
      <c r="AC265" s="306">
        <v>24.2586994171143</v>
      </c>
      <c r="AD265" s="306">
        <v>24.288969039916999</v>
      </c>
    </row>
    <row r="266" spans="1:70" ht="13" thickBot="1" x14ac:dyDescent="0.3">
      <c r="A266" s="912" t="s">
        <v>479</v>
      </c>
      <c r="B266" s="914">
        <v>18.400894165039102</v>
      </c>
      <c r="C266" s="914">
        <v>18.6226921081543</v>
      </c>
      <c r="D266" s="914">
        <v>20.334409713745099</v>
      </c>
      <c r="E266" s="914">
        <v>19.159486770629901</v>
      </c>
      <c r="F266" s="914">
        <v>16.828172683715799</v>
      </c>
      <c r="G266" s="914">
        <v>17.264308929443398</v>
      </c>
      <c r="H266" s="914">
        <v>17.156070709228501</v>
      </c>
      <c r="I266" s="914">
        <v>17.083604812622099</v>
      </c>
      <c r="J266" s="914">
        <v>17.1988334655762</v>
      </c>
      <c r="K266" s="914">
        <v>17.318143844604499</v>
      </c>
      <c r="L266" s="914">
        <v>17.615074157714801</v>
      </c>
      <c r="M266" s="914">
        <v>17.910154342651399</v>
      </c>
      <c r="N266" s="914">
        <v>18.210170745849599</v>
      </c>
      <c r="O266" s="914">
        <v>18.456880569458001</v>
      </c>
      <c r="P266" s="914">
        <v>18.803001403808601</v>
      </c>
      <c r="Q266" s="914">
        <v>19.085206985473601</v>
      </c>
      <c r="R266" s="914">
        <v>19.30615234375</v>
      </c>
      <c r="S266" s="914">
        <v>19.3043308258057</v>
      </c>
      <c r="T266" s="914">
        <v>19.3253479003906</v>
      </c>
      <c r="U266" s="914">
        <v>19.324813842773398</v>
      </c>
      <c r="V266" s="914">
        <v>19.354219436645501</v>
      </c>
      <c r="W266" s="914">
        <v>19.614883422851602</v>
      </c>
      <c r="X266" s="914">
        <v>19.97239112854</v>
      </c>
      <c r="Y266" s="914">
        <v>20.29469871521</v>
      </c>
      <c r="Z266" s="914">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 thickBot="1" x14ac:dyDescent="0.3">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 thickBot="1" x14ac:dyDescent="0.3">
      <c r="A268" s="912" t="s">
        <v>487</v>
      </c>
      <c r="AA268" s="306">
        <v>11.227470397949199</v>
      </c>
      <c r="AB268" s="306">
        <v>11.517865180969199</v>
      </c>
      <c r="AC268" s="306">
        <v>11.5089683532715</v>
      </c>
      <c r="AD268" s="306">
        <v>11.7493782043457</v>
      </c>
    </row>
    <row r="269" spans="1:70" ht="13" thickBot="1" x14ac:dyDescent="0.3">
      <c r="A269" s="912" t="s">
        <v>617</v>
      </c>
      <c r="B269" s="914">
        <v>22.296371459960898</v>
      </c>
      <c r="C269" s="914">
        <v>25.0072345733643</v>
      </c>
      <c r="D269" s="914">
        <v>28.759458541870099</v>
      </c>
      <c r="E269" s="914">
        <v>21.685003280639599</v>
      </c>
      <c r="F269" s="914">
        <v>20.534326553344702</v>
      </c>
      <c r="G269" s="914">
        <v>22.796831130981399</v>
      </c>
      <c r="H269" s="914">
        <v>24.8035278320313</v>
      </c>
      <c r="I269" s="914">
        <v>26.570152282714801</v>
      </c>
      <c r="J269" s="914">
        <v>28.076972961425799</v>
      </c>
      <c r="K269" s="914">
        <v>29.693559646606399</v>
      </c>
      <c r="L269" s="914">
        <v>30.7330017089844</v>
      </c>
      <c r="M269" s="914">
        <v>31.595745086669901</v>
      </c>
      <c r="N269" s="914">
        <v>32.463813781738303</v>
      </c>
      <c r="O269" s="914">
        <v>32.853603363037102</v>
      </c>
      <c r="P269" s="914">
        <v>33.095050811767599</v>
      </c>
      <c r="Q269" s="914">
        <v>33.3141899108887</v>
      </c>
      <c r="R269" s="914">
        <v>33.425758361816399</v>
      </c>
      <c r="S269" s="914">
        <v>33.752655029296903</v>
      </c>
      <c r="T269" s="914">
        <v>33.878787994384801</v>
      </c>
      <c r="U269" s="914">
        <v>33.426109313964801</v>
      </c>
      <c r="V269" s="914">
        <v>33.692680358886697</v>
      </c>
      <c r="W269" s="914">
        <v>33.960933685302699</v>
      </c>
      <c r="X269" s="914">
        <v>34.291332244872997</v>
      </c>
      <c r="Y269" s="914">
        <v>34.467491149902301</v>
      </c>
      <c r="Z269" s="914">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5">
      <c r="A270" s="912" t="s">
        <v>618</v>
      </c>
      <c r="B270" s="914">
        <v>25.5142211914063</v>
      </c>
      <c r="C270" s="914">
        <v>26.818180084228501</v>
      </c>
      <c r="D270" s="914">
        <v>34.073703765869098</v>
      </c>
      <c r="E270" s="914">
        <v>20.3962516784668</v>
      </c>
      <c r="F270" s="914">
        <v>18.869060516357401</v>
      </c>
      <c r="G270" s="914">
        <v>22.499189376831101</v>
      </c>
      <c r="H270" s="914">
        <v>24.345371246337901</v>
      </c>
      <c r="I270" s="914">
        <v>25.8835773468018</v>
      </c>
      <c r="J270" s="914">
        <v>27.376197814941399</v>
      </c>
      <c r="K270" s="914">
        <v>25.5507621765137</v>
      </c>
      <c r="L270" s="914">
        <v>26.3307495117188</v>
      </c>
      <c r="M270" s="914">
        <v>27.042121887206999</v>
      </c>
      <c r="N270" s="914">
        <v>27.074653625488299</v>
      </c>
      <c r="O270" s="914">
        <v>28.861484527587901</v>
      </c>
      <c r="P270" s="914">
        <v>29.593324661254901</v>
      </c>
      <c r="Q270" s="914">
        <v>29.691083908081101</v>
      </c>
      <c r="R270" s="914">
        <v>29.8394565582275</v>
      </c>
      <c r="S270" s="914">
        <v>30.056737899780298</v>
      </c>
      <c r="T270" s="914">
        <v>30.123649597168001</v>
      </c>
      <c r="U270" s="914">
        <v>30.045396804809599</v>
      </c>
      <c r="V270" s="914">
        <v>30.335887908935501</v>
      </c>
      <c r="W270" s="914">
        <v>30.1821899414063</v>
      </c>
      <c r="X270" s="914">
        <v>30.567377090454102</v>
      </c>
      <c r="Y270" s="914">
        <v>31.227724075317401</v>
      </c>
      <c r="Z270" s="914">
        <v>30.935503005981399</v>
      </c>
      <c r="AA270" s="306">
        <v>8.1832656860351598</v>
      </c>
      <c r="AB270" s="306">
        <v>8.1197490692138707</v>
      </c>
      <c r="AC270" s="306">
        <v>8.3803300857543892</v>
      </c>
      <c r="AD270" s="306">
        <v>8.2735004425048793</v>
      </c>
    </row>
    <row r="271" spans="1:70" x14ac:dyDescent="0.25">
      <c r="A271" s="912" t="s">
        <v>619</v>
      </c>
      <c r="B271" s="914">
        <v>21.784559249877901</v>
      </c>
      <c r="C271" s="914">
        <v>22.982162475585898</v>
      </c>
      <c r="D271" s="914">
        <v>26.1744689941406</v>
      </c>
      <c r="E271" s="914">
        <v>15.6736001968384</v>
      </c>
      <c r="F271" s="914">
        <v>17.7131462097168</v>
      </c>
      <c r="G271" s="914">
        <v>20.6617527008057</v>
      </c>
      <c r="H271" s="914">
        <v>22.301433563232401</v>
      </c>
      <c r="I271" s="914">
        <v>23.517950057983398</v>
      </c>
      <c r="J271" s="914">
        <v>24.816135406494102</v>
      </c>
      <c r="K271" s="914">
        <v>26.137458801269499</v>
      </c>
      <c r="L271" s="914">
        <v>27.061580657958999</v>
      </c>
      <c r="M271" s="914">
        <v>27.993299484252901</v>
      </c>
      <c r="N271" s="914">
        <v>28.802474975585898</v>
      </c>
      <c r="O271" s="914">
        <v>29.411088943481399</v>
      </c>
      <c r="P271" s="914">
        <v>29.938217163085898</v>
      </c>
      <c r="Q271" s="914">
        <v>30.057752609252901</v>
      </c>
      <c r="R271" s="914">
        <v>30.3159790039063</v>
      </c>
      <c r="S271" s="914">
        <v>30.494945526123001</v>
      </c>
      <c r="T271" s="914">
        <v>30.528341293335</v>
      </c>
      <c r="U271" s="914">
        <v>30.4458103179932</v>
      </c>
      <c r="V271" s="914">
        <v>30.726751327514599</v>
      </c>
      <c r="W271" s="914">
        <v>30.704950332641602</v>
      </c>
      <c r="X271" s="914">
        <v>31.110511779785199</v>
      </c>
      <c r="Y271" s="914">
        <v>31.9617519378662</v>
      </c>
      <c r="Z271" s="914">
        <v>31.583656311035199</v>
      </c>
      <c r="AA271" s="306">
        <v>13.240598678588899</v>
      </c>
      <c r="AB271" s="306">
        <v>13.359972000122101</v>
      </c>
      <c r="AC271" s="306">
        <v>13.395259857177701</v>
      </c>
      <c r="AD271" s="306">
        <v>13.453570365905801</v>
      </c>
    </row>
    <row r="272" spans="1:70" x14ac:dyDescent="0.25">
      <c r="A272" s="912" t="s">
        <v>620</v>
      </c>
      <c r="B272" s="914">
        <v>15.2446508407593</v>
      </c>
      <c r="C272" s="914">
        <v>16.0964660644531</v>
      </c>
      <c r="D272" s="914">
        <v>22.1856594085693</v>
      </c>
      <c r="E272" s="914">
        <v>10.540905952453601</v>
      </c>
      <c r="F272" s="914">
        <v>10.4131317138672</v>
      </c>
      <c r="G272" s="914">
        <v>12.992267608642599</v>
      </c>
      <c r="H272" s="914">
        <v>14.8510446548462</v>
      </c>
      <c r="I272" s="914">
        <v>16.4927158355713</v>
      </c>
      <c r="J272" s="914">
        <v>17.888269424438501</v>
      </c>
      <c r="K272" s="914">
        <v>19.120731353759801</v>
      </c>
      <c r="L272" s="914">
        <v>20.025011062622099</v>
      </c>
      <c r="M272" s="914">
        <v>20.925888061523398</v>
      </c>
      <c r="N272" s="914">
        <v>21.650459289550799</v>
      </c>
      <c r="O272" s="914">
        <v>22.054113388061499</v>
      </c>
      <c r="P272" s="914">
        <v>22.358533859252901</v>
      </c>
      <c r="Q272" s="914">
        <v>22.535087585449201</v>
      </c>
      <c r="R272" s="914">
        <v>22.624557495117202</v>
      </c>
      <c r="S272" s="914">
        <v>22.875423431396499</v>
      </c>
      <c r="T272" s="914">
        <v>23.088819503784201</v>
      </c>
      <c r="U272" s="914">
        <v>22.878332138061499</v>
      </c>
      <c r="V272" s="914">
        <v>23.229129791259801</v>
      </c>
      <c r="W272" s="914">
        <v>23.440977096557599</v>
      </c>
      <c r="X272" s="914">
        <v>23.911849975585898</v>
      </c>
      <c r="Y272" s="914">
        <v>24.3618278503418</v>
      </c>
      <c r="Z272" s="914">
        <v>24.669164657592798</v>
      </c>
      <c r="AA272" s="306">
        <v>24.345100402831999</v>
      </c>
      <c r="AB272" s="306">
        <v>24.401657104492202</v>
      </c>
      <c r="AC272" s="306">
        <v>24.482112884521499</v>
      </c>
      <c r="AD272" s="306">
        <v>24.4609375</v>
      </c>
    </row>
    <row r="273" spans="1:70" x14ac:dyDescent="0.25">
      <c r="A273" s="912" t="s">
        <v>724</v>
      </c>
      <c r="B273" s="914">
        <v>20.2724208831787</v>
      </c>
      <c r="C273" s="914">
        <v>20.921422958373999</v>
      </c>
      <c r="D273" s="914">
        <v>27.066003799438501</v>
      </c>
      <c r="E273" s="914">
        <v>15.379162788391101</v>
      </c>
      <c r="F273" s="914">
        <v>14.6322994232178</v>
      </c>
      <c r="G273" s="914">
        <v>17.082887649536101</v>
      </c>
      <c r="H273" s="914">
        <v>18.906814575195298</v>
      </c>
      <c r="I273" s="914">
        <v>21.012025833129901</v>
      </c>
      <c r="J273" s="914">
        <v>22.391767501831101</v>
      </c>
      <c r="K273" s="914">
        <v>23.401908874511701</v>
      </c>
      <c r="L273" s="914">
        <v>24.249780654907202</v>
      </c>
      <c r="M273" s="914">
        <v>25.151100158691399</v>
      </c>
      <c r="N273" s="914">
        <v>25.830009460449201</v>
      </c>
      <c r="O273" s="914">
        <v>26.267305374145501</v>
      </c>
      <c r="P273" s="914">
        <v>26.5901203155518</v>
      </c>
      <c r="Q273" s="914">
        <v>26.487575531005898</v>
      </c>
      <c r="R273" s="914">
        <v>26.7318305969238</v>
      </c>
      <c r="S273" s="914">
        <v>26.979133605956999</v>
      </c>
      <c r="T273" s="914">
        <v>27.001283645629901</v>
      </c>
      <c r="U273" s="914">
        <v>26.997362136840799</v>
      </c>
      <c r="V273" s="914">
        <v>27.317785263061499</v>
      </c>
      <c r="W273" s="914">
        <v>27.182266235351602</v>
      </c>
      <c r="X273" s="914">
        <v>27.638069152831999</v>
      </c>
      <c r="Y273" s="914">
        <v>28.388862609863299</v>
      </c>
      <c r="Z273" s="914">
        <v>28.337171554565401</v>
      </c>
      <c r="AA273" s="306"/>
      <c r="AB273" s="306"/>
      <c r="AC273" s="306"/>
      <c r="AD273" s="306"/>
    </row>
    <row r="274" spans="1:70" x14ac:dyDescent="0.25">
      <c r="A274" s="912" t="s">
        <v>611</v>
      </c>
      <c r="B274" s="914">
        <v>8.20648097991943</v>
      </c>
      <c r="C274" s="914">
        <v>9.4357099533081108</v>
      </c>
      <c r="D274" s="914">
        <v>14.2847747802734</v>
      </c>
      <c r="E274" s="914">
        <v>6.3925981521606401</v>
      </c>
      <c r="F274" s="914">
        <v>6.5852246284484899</v>
      </c>
      <c r="G274" s="914">
        <v>8.6673641204834002</v>
      </c>
      <c r="H274" s="914">
        <v>10.3328533172607</v>
      </c>
      <c r="I274" s="914">
        <v>11.815202713012701</v>
      </c>
      <c r="J274" s="914">
        <v>13.023598670959499</v>
      </c>
      <c r="K274" s="914">
        <v>14.4141092300415</v>
      </c>
      <c r="L274" s="914">
        <v>15.219378471374499</v>
      </c>
      <c r="M274" s="914">
        <v>15.915946006774901</v>
      </c>
      <c r="N274" s="914">
        <v>16.592523574829102</v>
      </c>
      <c r="O274" s="914">
        <v>16.9536838531494</v>
      </c>
      <c r="P274" s="914">
        <v>17.162534713745099</v>
      </c>
      <c r="Q274" s="914">
        <v>17.429744720458999</v>
      </c>
      <c r="R274" s="914">
        <v>17.456914901733398</v>
      </c>
      <c r="S274" s="914">
        <v>17.5628662109375</v>
      </c>
      <c r="T274" s="914">
        <v>17.630765914916999</v>
      </c>
      <c r="U274" s="914">
        <v>17.410764694213899</v>
      </c>
      <c r="V274" s="914">
        <v>17.6028347015381</v>
      </c>
      <c r="W274" s="914">
        <v>17.926630020141602</v>
      </c>
      <c r="X274" s="914">
        <v>18.257143020629901</v>
      </c>
      <c r="Y274" s="914">
        <v>18.451654434204102</v>
      </c>
      <c r="Z274" s="914">
        <v>18.835027694702099</v>
      </c>
      <c r="AA274" s="306">
        <v>10.4858131408691</v>
      </c>
      <c r="AB274" s="306">
        <v>10.572740554809601</v>
      </c>
      <c r="AC274" s="306">
        <v>10.740042686462401</v>
      </c>
      <c r="AD274" s="306">
        <v>10.786236763000501</v>
      </c>
    </row>
    <row r="275" spans="1:70" ht="13" thickBot="1" x14ac:dyDescent="0.3">
      <c r="A275" s="912" t="s">
        <v>622</v>
      </c>
      <c r="B275" s="914">
        <v>15.5415086746216</v>
      </c>
      <c r="C275" s="914">
        <v>15.4958410263062</v>
      </c>
      <c r="D275" s="914">
        <v>16.8896675109863</v>
      </c>
      <c r="E275" s="914">
        <v>12.7877197265625</v>
      </c>
      <c r="F275" s="914">
        <v>13.502610206604</v>
      </c>
      <c r="G275" s="914">
        <v>13.8291311264038</v>
      </c>
      <c r="H275" s="914">
        <v>13.8390712738037</v>
      </c>
      <c r="I275" s="914">
        <v>13.843875885009799</v>
      </c>
      <c r="J275" s="914">
        <v>13.934069633483899</v>
      </c>
      <c r="K275" s="914">
        <v>14.0993509292603</v>
      </c>
      <c r="L275" s="914">
        <v>14.229956626892101</v>
      </c>
      <c r="M275" s="914">
        <v>14.3684740066528</v>
      </c>
      <c r="N275" s="914">
        <v>14.5119123458862</v>
      </c>
      <c r="O275" s="914">
        <v>14.701403617858899</v>
      </c>
      <c r="P275" s="914">
        <v>14.9462375640869</v>
      </c>
      <c r="Q275" s="914">
        <v>15.0934410095215</v>
      </c>
      <c r="R275" s="914">
        <v>15.092455863952599</v>
      </c>
      <c r="S275" s="914">
        <v>14.8220539093018</v>
      </c>
      <c r="T275" s="914">
        <v>14.7596139907837</v>
      </c>
      <c r="U275" s="914">
        <v>14.661186218261699</v>
      </c>
      <c r="V275" s="914">
        <v>14.786495208740201</v>
      </c>
      <c r="W275" s="914">
        <v>15.012266159057599</v>
      </c>
      <c r="X275" s="914">
        <v>15.2852840423584</v>
      </c>
      <c r="Y275" s="914">
        <v>15.4684591293335</v>
      </c>
      <c r="Z275" s="914">
        <v>15.6974124908447</v>
      </c>
      <c r="AA275" s="306">
        <v>6.7344188690185502</v>
      </c>
      <c r="AB275" s="306">
        <v>6.7479009628295898</v>
      </c>
      <c r="AC275" s="306">
        <v>6.8497943878173801</v>
      </c>
      <c r="AD275" s="306">
        <v>6.84698486328125</v>
      </c>
    </row>
    <row r="276" spans="1:70" ht="13" thickBot="1" x14ac:dyDescent="0.3">
      <c r="A276" s="912" t="s">
        <v>479</v>
      </c>
      <c r="B276" s="914">
        <v>30.349004745483398</v>
      </c>
      <c r="C276" s="914">
        <v>30.777971267700199</v>
      </c>
      <c r="D276" s="914">
        <v>33.734138488769503</v>
      </c>
      <c r="E276" s="914">
        <v>31.501590728759801</v>
      </c>
      <c r="F276" s="914">
        <v>27.327030181884801</v>
      </c>
      <c r="G276" s="914">
        <v>28.561843872070298</v>
      </c>
      <c r="H276" s="914">
        <v>28.965305328369102</v>
      </c>
      <c r="I276" s="914">
        <v>28.9159030914307</v>
      </c>
      <c r="J276" s="914">
        <v>28.7644939422607</v>
      </c>
      <c r="K276" s="914">
        <v>28.526710510253899</v>
      </c>
      <c r="L276" s="914">
        <v>28.644361495971701</v>
      </c>
      <c r="M276" s="914">
        <v>28.6527919769287</v>
      </c>
      <c r="N276" s="914">
        <v>28.819505691528299</v>
      </c>
      <c r="O276" s="914">
        <v>28.888120651245099</v>
      </c>
      <c r="P276" s="914">
        <v>29.142557144165</v>
      </c>
      <c r="Q276" s="914">
        <v>29.470201492309599</v>
      </c>
      <c r="R276" s="914">
        <v>29.764074325561499</v>
      </c>
      <c r="S276" s="914">
        <v>29.801677703857401</v>
      </c>
      <c r="T276" s="914">
        <v>29.921939849853501</v>
      </c>
      <c r="U276" s="914">
        <v>30.035243988037099</v>
      </c>
      <c r="V276" s="914">
        <v>30.304817199706999</v>
      </c>
      <c r="W276" s="914">
        <v>30.8045558929443</v>
      </c>
      <c r="X276" s="914">
        <v>31.450147628784201</v>
      </c>
      <c r="Y276" s="914">
        <v>31.910936355590799</v>
      </c>
      <c r="Z276" s="914">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 thickBot="1" x14ac:dyDescent="0.3">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5">
      <c r="A278" s="912" t="s">
        <v>623</v>
      </c>
      <c r="AA278" s="306"/>
      <c r="AB278" s="306"/>
      <c r="AC278" s="306"/>
      <c r="AD278" s="306"/>
    </row>
    <row r="279" spans="1:70" x14ac:dyDescent="0.25">
      <c r="A279" s="912" t="s">
        <v>610</v>
      </c>
      <c r="B279" s="914">
        <v>13.773189544677701</v>
      </c>
      <c r="C279" s="914">
        <v>14.7725219726563</v>
      </c>
      <c r="D279" s="914">
        <v>19.176651000976602</v>
      </c>
      <c r="E279" s="914">
        <v>12.4995737075806</v>
      </c>
      <c r="F279" s="914">
        <v>9.7914295196533203</v>
      </c>
      <c r="G279" s="914">
        <v>12.0805196762085</v>
      </c>
      <c r="H279" s="914">
        <v>13.8671321868896</v>
      </c>
      <c r="I279" s="914">
        <v>15.216549873352101</v>
      </c>
      <c r="J279" s="914">
        <v>16.469785690307599</v>
      </c>
      <c r="K279" s="914">
        <v>17.9636936187744</v>
      </c>
      <c r="L279" s="914">
        <v>18.832237243652301</v>
      </c>
      <c r="M279" s="914">
        <v>19.641151428222699</v>
      </c>
      <c r="N279" s="914">
        <v>20.348432540893601</v>
      </c>
      <c r="O279" s="914">
        <v>20.710233688354499</v>
      </c>
      <c r="P279" s="914">
        <v>20.980741500854499</v>
      </c>
      <c r="Q279" s="914">
        <v>21.161005020141602</v>
      </c>
      <c r="R279" s="914">
        <v>21.2950553894043</v>
      </c>
      <c r="S279" s="914">
        <v>21.596014022827099</v>
      </c>
      <c r="T279" s="914">
        <v>21.884708404541001</v>
      </c>
      <c r="U279" s="914">
        <v>21.582948684692401</v>
      </c>
      <c r="V279" s="914">
        <v>21.8727416992188</v>
      </c>
      <c r="W279" s="914">
        <v>22.200710296630898</v>
      </c>
      <c r="X279" s="914">
        <v>22.548530578613299</v>
      </c>
      <c r="Y279" s="914">
        <v>22.812198638916001</v>
      </c>
      <c r="Z279" s="914">
        <v>23.2114353179932</v>
      </c>
      <c r="AA279" s="306">
        <v>18.0768718719482</v>
      </c>
      <c r="AB279" s="306">
        <v>18.184886932373001</v>
      </c>
      <c r="AC279" s="306">
        <v>18.263076782226602</v>
      </c>
      <c r="AD279" s="306">
        <v>18.304286956787099</v>
      </c>
    </row>
    <row r="280" spans="1:70" x14ac:dyDescent="0.25">
      <c r="A280" s="912" t="s">
        <v>611</v>
      </c>
      <c r="B280" s="914">
        <v>8.3781757354736293</v>
      </c>
      <c r="C280" s="914">
        <v>8.5664386749267596</v>
      </c>
      <c r="D280" s="914">
        <v>14.309384346008301</v>
      </c>
      <c r="E280" s="914">
        <v>6.51324510574341</v>
      </c>
      <c r="F280" s="914">
        <v>6.6763448715209996</v>
      </c>
      <c r="G280" s="914">
        <v>9.3123388290405291</v>
      </c>
      <c r="H280" s="914">
        <v>10.994701385498001</v>
      </c>
      <c r="I280" s="914">
        <v>12.5300750732422</v>
      </c>
      <c r="J280" s="914">
        <v>13.7526693344116</v>
      </c>
      <c r="K280" s="914">
        <v>15.155575752258301</v>
      </c>
      <c r="L280" s="914">
        <v>15.963142395019499</v>
      </c>
      <c r="M280" s="914">
        <v>16.617677688598601</v>
      </c>
      <c r="N280" s="914">
        <v>17.274333953857401</v>
      </c>
      <c r="O280" s="914">
        <v>17.322587966918899</v>
      </c>
      <c r="P280" s="914">
        <v>17.542411804199201</v>
      </c>
      <c r="Q280" s="914">
        <v>17.799869537353501</v>
      </c>
      <c r="R280" s="914">
        <v>17.916141510009801</v>
      </c>
      <c r="S280" s="914">
        <v>18.075910568237301</v>
      </c>
      <c r="T280" s="914">
        <v>18.1613368988037</v>
      </c>
      <c r="U280" s="914">
        <v>17.935956954956101</v>
      </c>
      <c r="V280" s="914">
        <v>18.128087997436499</v>
      </c>
      <c r="W280" s="914">
        <v>18.400978088378899</v>
      </c>
      <c r="X280" s="914">
        <v>18.7218933105469</v>
      </c>
      <c r="Y280" s="914">
        <v>18.9085083007813</v>
      </c>
      <c r="Z280" s="914">
        <v>19.247135162353501</v>
      </c>
      <c r="AA280" s="306">
        <v>21.3195495605469</v>
      </c>
      <c r="AB280" s="306">
        <v>21.43874168396</v>
      </c>
      <c r="AC280" s="306">
        <v>21.398374557495099</v>
      </c>
      <c r="AD280" s="306">
        <v>21.4992275238037</v>
      </c>
    </row>
    <row r="281" spans="1:70" x14ac:dyDescent="0.25">
      <c r="A281" s="912" t="s">
        <v>510</v>
      </c>
      <c r="B281" s="914">
        <v>7.0546379089355504</v>
      </c>
      <c r="C281" s="914">
        <v>7.0191597938537598</v>
      </c>
      <c r="D281" s="914">
        <v>8.8716125488281303</v>
      </c>
      <c r="E281" s="914">
        <v>4.5556221008300799</v>
      </c>
      <c r="F281" s="914">
        <v>5.1293134689331099</v>
      </c>
      <c r="G281" s="914">
        <v>5.4535460472106898</v>
      </c>
      <c r="H281" s="914">
        <v>5.5187635421752903</v>
      </c>
      <c r="I281" s="914">
        <v>5.53977298736572</v>
      </c>
      <c r="J281" s="914">
        <v>5.6835036277770996</v>
      </c>
      <c r="K281" s="914">
        <v>5.8920464515686</v>
      </c>
      <c r="L281" s="914">
        <v>6.0819325447082502</v>
      </c>
      <c r="M281" s="914">
        <v>6.2693996429443404</v>
      </c>
      <c r="N281" s="914">
        <v>6.4775133132934597</v>
      </c>
      <c r="O281" s="914">
        <v>6.7354197502136204</v>
      </c>
      <c r="P281" s="914">
        <v>7.0278439521789604</v>
      </c>
      <c r="Q281" s="914">
        <v>7.2539091110229501</v>
      </c>
      <c r="R281" s="914">
        <v>7.3283839225768999</v>
      </c>
      <c r="S281" s="914">
        <v>7.1506276130676296</v>
      </c>
      <c r="T281" s="914">
        <v>7.1924118995666504</v>
      </c>
      <c r="U281" s="914">
        <v>7.1398839950561497</v>
      </c>
      <c r="V281" s="914">
        <v>7.2806253433227504</v>
      </c>
      <c r="W281" s="914">
        <v>7.5354790687561</v>
      </c>
      <c r="X281" s="914">
        <v>7.8600792884826696</v>
      </c>
      <c r="Y281" s="914">
        <v>8.0742120742797905</v>
      </c>
      <c r="Z281" s="914">
        <v>8.3395175933837908</v>
      </c>
      <c r="AA281" s="306">
        <v>17.291141510009801</v>
      </c>
      <c r="AB281" s="306">
        <v>17.529483795166001</v>
      </c>
      <c r="AC281" s="306">
        <v>17.525184631347699</v>
      </c>
      <c r="AD281" s="306">
        <v>17.7543029785156</v>
      </c>
    </row>
    <row r="282" spans="1:70" x14ac:dyDescent="0.25">
      <c r="A282" s="912" t="s">
        <v>624</v>
      </c>
      <c r="B282" s="914">
        <v>1.7355252504348799</v>
      </c>
      <c r="C282" s="914">
        <v>1.7800002098083501</v>
      </c>
      <c r="D282" s="914">
        <v>1.9310736656189</v>
      </c>
      <c r="E282" s="914">
        <v>1.98230564594269</v>
      </c>
      <c r="F282" s="914">
        <v>1.86225914955139</v>
      </c>
      <c r="G282" s="914">
        <v>1.87335216999054</v>
      </c>
      <c r="H282" s="914">
        <v>1.85759365558624</v>
      </c>
      <c r="I282" s="914">
        <v>1.8817487955093399</v>
      </c>
      <c r="J282" s="914">
        <v>1.9043176174163801</v>
      </c>
      <c r="K282" s="914">
        <v>1.90719401836395</v>
      </c>
      <c r="L282" s="914">
        <v>1.9170492887496899</v>
      </c>
      <c r="M282" s="914">
        <v>1.9259506464004501</v>
      </c>
      <c r="N282" s="914">
        <v>1.94080138206482</v>
      </c>
      <c r="O282" s="914">
        <v>1.94636797904968</v>
      </c>
      <c r="P282" s="914">
        <v>1.9562891721725499</v>
      </c>
      <c r="Q282" s="914">
        <v>1.9622501134872401</v>
      </c>
      <c r="R282" s="914">
        <v>1.9753552675247199</v>
      </c>
      <c r="S282" s="914">
        <v>1.9811542034149201</v>
      </c>
      <c r="T282" s="914">
        <v>1.98549652099609</v>
      </c>
      <c r="U282" s="914">
        <v>1.9898830652236901</v>
      </c>
      <c r="V282" s="914">
        <v>1.99634909629822</v>
      </c>
      <c r="W282" s="914">
        <v>2.00744533538818</v>
      </c>
      <c r="X282" s="914">
        <v>2.0202190876007098</v>
      </c>
      <c r="Y282" s="914">
        <v>2.0336120128631601</v>
      </c>
      <c r="Z282" s="914">
        <v>2.0445194244384801</v>
      </c>
      <c r="AA282" s="306">
        <v>11.227470397949199</v>
      </c>
      <c r="AB282" s="306">
        <v>11.517865180969199</v>
      </c>
      <c r="AC282" s="306">
        <v>11.5089683532715</v>
      </c>
      <c r="AD282" s="306">
        <v>11.7493782043457</v>
      </c>
    </row>
    <row r="283" spans="1:70" x14ac:dyDescent="0.25">
      <c r="AA283" s="306">
        <v>15.2353620529175</v>
      </c>
      <c r="AB283" s="306">
        <v>15.5302953720093</v>
      </c>
      <c r="AC283" s="306">
        <v>15.500846862793001</v>
      </c>
      <c r="AD283" s="306">
        <v>15.7047281265259</v>
      </c>
    </row>
    <row r="284" spans="1:70" x14ac:dyDescent="0.25">
      <c r="A284" s="912" t="s">
        <v>625</v>
      </c>
      <c r="AA284" s="306">
        <v>7.7013258934020996</v>
      </c>
      <c r="AB284" s="306">
        <v>7.6767330169677699</v>
      </c>
      <c r="AC284" s="306">
        <v>7.8322434425354004</v>
      </c>
      <c r="AD284" s="306">
        <v>7.7872447967529297</v>
      </c>
    </row>
    <row r="285" spans="1:70" x14ac:dyDescent="0.25">
      <c r="A285" s="912" t="s">
        <v>609</v>
      </c>
      <c r="B285" s="914">
        <v>15.657142639160201</v>
      </c>
      <c r="C285" s="914">
        <v>18.5313529968262</v>
      </c>
      <c r="D285" s="914">
        <v>19.701341629028299</v>
      </c>
      <c r="E285" s="914">
        <v>16.4090671539307</v>
      </c>
      <c r="F285" s="914">
        <v>16.297544479370099</v>
      </c>
      <c r="G285" s="914">
        <v>18.4262371063232</v>
      </c>
      <c r="H285" s="914">
        <v>20.2184352874756</v>
      </c>
      <c r="I285" s="914">
        <v>21.813219070434599</v>
      </c>
      <c r="J285" s="914">
        <v>23.252103805541999</v>
      </c>
      <c r="K285" s="914">
        <v>24.811630249023398</v>
      </c>
      <c r="L285" s="914">
        <v>25.812454223632798</v>
      </c>
      <c r="M285" s="914">
        <v>26.627546310424801</v>
      </c>
      <c r="N285" s="914">
        <v>27.460300445556602</v>
      </c>
      <c r="O285" s="914">
        <v>27.8579425811768</v>
      </c>
      <c r="P285" s="914">
        <v>28.113265991210898</v>
      </c>
      <c r="Q285" s="914">
        <v>28.325565338134801</v>
      </c>
      <c r="R285" s="914">
        <v>28.4571437835693</v>
      </c>
      <c r="S285" s="914">
        <v>28.7732944488525</v>
      </c>
      <c r="T285" s="914">
        <v>28.920036315918001</v>
      </c>
      <c r="U285" s="914">
        <v>28.525373458862301</v>
      </c>
      <c r="V285" s="914">
        <v>28.814060211181602</v>
      </c>
      <c r="W285" s="914">
        <v>29.1242790222168</v>
      </c>
      <c r="X285" s="914">
        <v>29.486963272094702</v>
      </c>
      <c r="Y285" s="914">
        <v>29.629682540893601</v>
      </c>
      <c r="Z285" s="914">
        <v>30.0484523773193</v>
      </c>
      <c r="AA285" s="306">
        <v>7.8213167190551802</v>
      </c>
      <c r="AB285" s="306">
        <v>7.9383788108825701</v>
      </c>
      <c r="AC285" s="306">
        <v>8.0273618698120099</v>
      </c>
      <c r="AD285" s="306">
        <v>8.0851049423217791</v>
      </c>
    </row>
    <row r="286" spans="1:70" x14ac:dyDescent="0.25">
      <c r="A286" s="912" t="s">
        <v>618</v>
      </c>
      <c r="B286" s="914">
        <v>25.5142211914063</v>
      </c>
      <c r="C286" s="914">
        <v>26.818180084228501</v>
      </c>
      <c r="D286" s="914">
        <v>34.073703765869098</v>
      </c>
      <c r="E286" s="914">
        <v>20.3962516784668</v>
      </c>
      <c r="F286" s="914">
        <v>18.869060516357401</v>
      </c>
      <c r="G286" s="914">
        <v>22.499189376831101</v>
      </c>
      <c r="H286" s="914">
        <v>24.345371246337901</v>
      </c>
      <c r="I286" s="914">
        <v>25.8835773468018</v>
      </c>
      <c r="J286" s="914">
        <v>27.376197814941399</v>
      </c>
      <c r="K286" s="914">
        <v>25.5507621765137</v>
      </c>
      <c r="L286" s="914">
        <v>26.3307495117188</v>
      </c>
      <c r="M286" s="914">
        <v>27.042121887206999</v>
      </c>
      <c r="N286" s="914">
        <v>27.074653625488299</v>
      </c>
      <c r="O286" s="914">
        <v>28.861484527587901</v>
      </c>
      <c r="P286" s="914">
        <v>29.593324661254901</v>
      </c>
      <c r="Q286" s="914">
        <v>29.691083908081101</v>
      </c>
      <c r="R286" s="914">
        <v>29.8394565582275</v>
      </c>
      <c r="S286" s="914">
        <v>30.056737899780298</v>
      </c>
      <c r="T286" s="914">
        <v>30.123649597168001</v>
      </c>
      <c r="U286" s="914">
        <v>30.045396804809599</v>
      </c>
      <c r="V286" s="914">
        <v>30.335887908935501</v>
      </c>
      <c r="W286" s="914">
        <v>30.1821899414063</v>
      </c>
      <c r="X286" s="914">
        <v>30.567377090454102</v>
      </c>
      <c r="Y286" s="914">
        <v>31.227724075317401</v>
      </c>
      <c r="Z286" s="914">
        <v>30.935503005981399</v>
      </c>
      <c r="AA286" s="306">
        <v>2.7168338298797599</v>
      </c>
      <c r="AB286" s="306">
        <v>2.7307398319244398</v>
      </c>
      <c r="AC286" s="306">
        <v>2.7413196563720699</v>
      </c>
      <c r="AD286" s="306">
        <v>2.7546591758728001</v>
      </c>
    </row>
    <row r="287" spans="1:70" x14ac:dyDescent="0.25">
      <c r="A287" s="912" t="s">
        <v>619</v>
      </c>
      <c r="B287" s="914">
        <v>21.649000167846701</v>
      </c>
      <c r="C287" s="914">
        <v>22.8191947937012</v>
      </c>
      <c r="D287" s="914">
        <v>26.0107421875</v>
      </c>
      <c r="E287" s="914">
        <v>15.8019914627075</v>
      </c>
      <c r="F287" s="914">
        <v>17.711067199706999</v>
      </c>
      <c r="G287" s="914">
        <v>20.6589241027832</v>
      </c>
      <c r="H287" s="914">
        <v>22.298402786254901</v>
      </c>
      <c r="I287" s="914">
        <v>23.5152263641357</v>
      </c>
      <c r="J287" s="914">
        <v>24.813198089599599</v>
      </c>
      <c r="K287" s="914">
        <v>26.134485244751001</v>
      </c>
      <c r="L287" s="914">
        <v>27.0586547851563</v>
      </c>
      <c r="M287" s="914">
        <v>27.9900207519531</v>
      </c>
      <c r="N287" s="914">
        <v>28.799554824829102</v>
      </c>
      <c r="O287" s="914">
        <v>29.408401489257798</v>
      </c>
      <c r="P287" s="914">
        <v>29.935087203979499</v>
      </c>
      <c r="Q287" s="914">
        <v>30.054672241210898</v>
      </c>
      <c r="R287" s="914">
        <v>30.314332962036101</v>
      </c>
      <c r="S287" s="914">
        <v>30.492042541503899</v>
      </c>
      <c r="T287" s="914">
        <v>30.525100708007798</v>
      </c>
      <c r="U287" s="914">
        <v>30.442491531372099</v>
      </c>
      <c r="V287" s="914">
        <v>30.723676681518601</v>
      </c>
      <c r="W287" s="914">
        <v>30.701581954956101</v>
      </c>
      <c r="X287" s="914">
        <v>31.107343673706101</v>
      </c>
      <c r="Y287" s="914">
        <v>31.957983016967798</v>
      </c>
      <c r="Z287" s="914">
        <v>31.580909729003899</v>
      </c>
      <c r="AA287" s="306">
        <v>1.67883205413818</v>
      </c>
      <c r="AB287" s="306">
        <v>1.6938681602478001</v>
      </c>
      <c r="AC287" s="306">
        <v>1.7024568319320701</v>
      </c>
      <c r="AD287" s="306">
        <v>1.71655297279358</v>
      </c>
    </row>
    <row r="288" spans="1:70" x14ac:dyDescent="0.25">
      <c r="A288" s="912" t="s">
        <v>626</v>
      </c>
      <c r="B288" s="914">
        <v>15.2446508407593</v>
      </c>
      <c r="C288" s="914">
        <v>16.0964660644531</v>
      </c>
      <c r="D288" s="914">
        <v>22.1856594085693</v>
      </c>
      <c r="E288" s="914">
        <v>10.540905952453601</v>
      </c>
      <c r="F288" s="914">
        <v>10.4131317138672</v>
      </c>
      <c r="G288" s="914">
        <v>12.992267608642599</v>
      </c>
      <c r="H288" s="914">
        <v>14.8510446548462</v>
      </c>
      <c r="I288" s="914">
        <v>16.4927158355713</v>
      </c>
      <c r="J288" s="914">
        <v>17.888269424438501</v>
      </c>
      <c r="K288" s="914">
        <v>19.120731353759801</v>
      </c>
      <c r="L288" s="914">
        <v>20.025011062622099</v>
      </c>
      <c r="M288" s="914">
        <v>20.925888061523398</v>
      </c>
      <c r="N288" s="914">
        <v>21.650459289550799</v>
      </c>
      <c r="O288" s="914">
        <v>22.054113388061499</v>
      </c>
      <c r="P288" s="914">
        <v>22.358533859252901</v>
      </c>
      <c r="Q288" s="914">
        <v>22.535087585449201</v>
      </c>
      <c r="R288" s="914">
        <v>22.624557495117202</v>
      </c>
      <c r="S288" s="914">
        <v>22.875423431396499</v>
      </c>
      <c r="T288" s="914">
        <v>23.088819503784201</v>
      </c>
      <c r="U288" s="914">
        <v>22.878332138061499</v>
      </c>
      <c r="V288" s="914">
        <v>23.229129791259801</v>
      </c>
      <c r="W288" s="914">
        <v>23.440977096557599</v>
      </c>
      <c r="X288" s="914">
        <v>23.911849975585898</v>
      </c>
      <c r="Y288" s="914">
        <v>24.3618278503418</v>
      </c>
      <c r="Z288" s="914">
        <v>24.669164657592798</v>
      </c>
      <c r="AA288" s="306">
        <v>1.2833950519561801</v>
      </c>
      <c r="AB288" s="306">
        <v>1.3286876678466799</v>
      </c>
      <c r="AC288" s="306">
        <v>1.33012855052948</v>
      </c>
      <c r="AD288" s="306">
        <v>1.33445107936859</v>
      </c>
    </row>
    <row r="289" spans="1:30" x14ac:dyDescent="0.25">
      <c r="A289" s="912" t="s">
        <v>610</v>
      </c>
      <c r="B289" s="914">
        <v>19.171348571777301</v>
      </c>
      <c r="C289" s="914">
        <v>19.9431552886963</v>
      </c>
      <c r="D289" s="914">
        <v>25.721439361572301</v>
      </c>
      <c r="E289" s="914">
        <v>15.1513471603394</v>
      </c>
      <c r="F289" s="914">
        <v>13.5963325500488</v>
      </c>
      <c r="G289" s="914">
        <v>16.098552703857401</v>
      </c>
      <c r="H289" s="914">
        <v>18.014595031738299</v>
      </c>
      <c r="I289" s="914">
        <v>20.0945529937744</v>
      </c>
      <c r="J289" s="914">
        <v>21.487236022949201</v>
      </c>
      <c r="K289" s="914">
        <v>22.551927566528299</v>
      </c>
      <c r="L289" s="914">
        <v>23.4185886383057</v>
      </c>
      <c r="M289" s="914">
        <v>24.295482635498001</v>
      </c>
      <c r="N289" s="914">
        <v>25.028078079223601</v>
      </c>
      <c r="O289" s="914">
        <v>25.4735622406006</v>
      </c>
      <c r="P289" s="914">
        <v>25.7968635559082</v>
      </c>
      <c r="Q289" s="914">
        <v>25.744600296020501</v>
      </c>
      <c r="R289" s="914">
        <v>26.0401725769043</v>
      </c>
      <c r="S289" s="914">
        <v>26.245742797851602</v>
      </c>
      <c r="T289" s="914">
        <v>26.316581726074201</v>
      </c>
      <c r="U289" s="914">
        <v>26.282798767089801</v>
      </c>
      <c r="V289" s="914">
        <v>26.623888015747099</v>
      </c>
      <c r="W289" s="914">
        <v>26.532428741455099</v>
      </c>
      <c r="X289" s="914">
        <v>26.9911499023438</v>
      </c>
      <c r="Y289" s="914">
        <v>27.692060470581101</v>
      </c>
      <c r="Z289" s="914">
        <v>27.7130451202393</v>
      </c>
      <c r="AA289" s="306">
        <v>23.429731369018601</v>
      </c>
      <c r="AB289" s="306">
        <v>23.480413436889599</v>
      </c>
      <c r="AC289" s="306">
        <v>23.589033126831101</v>
      </c>
      <c r="AD289" s="306">
        <v>23.596023559570298</v>
      </c>
    </row>
    <row r="290" spans="1:30" x14ac:dyDescent="0.25">
      <c r="A290" s="912" t="s">
        <v>611</v>
      </c>
      <c r="B290" s="914">
        <v>8.4246683120727504</v>
      </c>
      <c r="C290" s="914">
        <v>9.3672227859497106</v>
      </c>
      <c r="D290" s="914">
        <v>14.1781015396118</v>
      </c>
      <c r="E290" s="914">
        <v>6.5043296813964799</v>
      </c>
      <c r="F290" s="914">
        <v>6.9149212837219203</v>
      </c>
      <c r="G290" s="914">
        <v>9.2013835906982404</v>
      </c>
      <c r="H290" s="914">
        <v>10.8588418960571</v>
      </c>
      <c r="I290" s="914">
        <v>12.3554439544678</v>
      </c>
      <c r="J290" s="914">
        <v>13.5696716308594</v>
      </c>
      <c r="K290" s="914">
        <v>14.9571332931519</v>
      </c>
      <c r="L290" s="914">
        <v>15.7562828063965</v>
      </c>
      <c r="M290" s="914">
        <v>16.419845581054702</v>
      </c>
      <c r="N290" s="914">
        <v>17.090215682983398</v>
      </c>
      <c r="O290" s="914">
        <v>17.3671054840088</v>
      </c>
      <c r="P290" s="914">
        <v>17.589653015136701</v>
      </c>
      <c r="Q290" s="914">
        <v>17.8480415344238</v>
      </c>
      <c r="R290" s="914">
        <v>17.911899566650401</v>
      </c>
      <c r="S290" s="914">
        <v>18.041828155517599</v>
      </c>
      <c r="T290" s="914">
        <v>18.112939834594702</v>
      </c>
      <c r="U290" s="914">
        <v>17.862413406372099</v>
      </c>
      <c r="V290" s="914">
        <v>18.047613143920898</v>
      </c>
      <c r="W290" s="914">
        <v>18.333000183105501</v>
      </c>
      <c r="X290" s="914">
        <v>18.6528930664063</v>
      </c>
      <c r="Y290" s="914">
        <v>18.8375339508057</v>
      </c>
      <c r="Z290" s="914">
        <v>19.187860488891602</v>
      </c>
      <c r="AA290" s="306"/>
      <c r="AB290" s="306"/>
      <c r="AC290" s="306"/>
      <c r="AD290" s="306"/>
    </row>
    <row r="291" spans="1:30" x14ac:dyDescent="0.25">
      <c r="A291" s="912" t="s">
        <v>510</v>
      </c>
      <c r="B291" s="914">
        <v>9.5015735626220703</v>
      </c>
      <c r="C291" s="914">
        <v>9.0060253143310494</v>
      </c>
      <c r="D291" s="914">
        <v>10.1816816329956</v>
      </c>
      <c r="E291" s="914">
        <v>6.76324558258057</v>
      </c>
      <c r="F291" s="914">
        <v>7.4289712905883798</v>
      </c>
      <c r="G291" s="914">
        <v>7.7374553680419904</v>
      </c>
      <c r="H291" s="914">
        <v>7.7907910346984899</v>
      </c>
      <c r="I291" s="914">
        <v>7.79954290390015</v>
      </c>
      <c r="J291" s="914">
        <v>7.91036033630371</v>
      </c>
      <c r="K291" s="914">
        <v>8.0721502304077095</v>
      </c>
      <c r="L291" s="914">
        <v>8.2674913406372106</v>
      </c>
      <c r="M291" s="914">
        <v>8.4630060195922905</v>
      </c>
      <c r="N291" s="914">
        <v>8.6615943908691406</v>
      </c>
      <c r="O291" s="914">
        <v>8.9140930175781303</v>
      </c>
      <c r="P291" s="914">
        <v>9.2212562561035192</v>
      </c>
      <c r="Q291" s="914">
        <v>9.4307956695556605</v>
      </c>
      <c r="R291" s="914">
        <v>9.4883728027343803</v>
      </c>
      <c r="S291" s="914">
        <v>9.2674760818481392</v>
      </c>
      <c r="T291" s="914">
        <v>9.2395153045654297</v>
      </c>
      <c r="U291" s="914">
        <v>9.1623344421386701</v>
      </c>
      <c r="V291" s="914">
        <v>9.3142642974853498</v>
      </c>
      <c r="W291" s="914">
        <v>9.5711297988891602</v>
      </c>
      <c r="X291" s="914">
        <v>9.9057645797729492</v>
      </c>
      <c r="Y291" s="914">
        <v>10.151716232299799</v>
      </c>
      <c r="Z291" s="914">
        <v>10.4206848144531</v>
      </c>
      <c r="AA291" s="306"/>
      <c r="AB291" s="306"/>
      <c r="AC291" s="306"/>
      <c r="AD291" s="306"/>
    </row>
    <row r="292" spans="1:30" x14ac:dyDescent="0.25">
      <c r="A292" s="912" t="s">
        <v>614</v>
      </c>
      <c r="B292" s="914">
        <v>3.6353600025177002</v>
      </c>
      <c r="C292" s="914">
        <v>3.6099998950958301</v>
      </c>
      <c r="D292" s="914">
        <v>4.0558156967163104</v>
      </c>
      <c r="E292" s="914">
        <v>4.0487108230590803</v>
      </c>
      <c r="F292" s="914">
        <v>3.9977276325225799</v>
      </c>
      <c r="G292" s="914">
        <v>4.1121706962585396</v>
      </c>
      <c r="H292" s="914">
        <v>4.1809573173522896</v>
      </c>
      <c r="I292" s="914">
        <v>4.2343683242797896</v>
      </c>
      <c r="J292" s="914">
        <v>4.27162742614746</v>
      </c>
      <c r="K292" s="914">
        <v>4.2985162734985396</v>
      </c>
      <c r="L292" s="914">
        <v>4.3192996978759801</v>
      </c>
      <c r="M292" s="914">
        <v>4.3337044715881303</v>
      </c>
      <c r="N292" s="914">
        <v>4.3530845642089799</v>
      </c>
      <c r="O292" s="914">
        <v>4.3696141242981001</v>
      </c>
      <c r="P292" s="914">
        <v>4.3899216651916504</v>
      </c>
      <c r="Q292" s="914">
        <v>4.4470157623290998</v>
      </c>
      <c r="R292" s="914">
        <v>4.5093812942504901</v>
      </c>
      <c r="S292" s="914">
        <v>4.5352845191955602</v>
      </c>
      <c r="T292" s="914">
        <v>4.5618190765380904</v>
      </c>
      <c r="U292" s="914">
        <v>4.5643453598022496</v>
      </c>
      <c r="V292" s="914">
        <v>4.5493078231811497</v>
      </c>
      <c r="W292" s="914">
        <v>4.5490665435790998</v>
      </c>
      <c r="X292" s="914">
        <v>4.5331215858459499</v>
      </c>
      <c r="Y292" s="914">
        <v>4.4955492019653303</v>
      </c>
      <c r="Z292" s="914">
        <v>4.4319190979003897</v>
      </c>
      <c r="AA292" s="306">
        <v>253.732666015625</v>
      </c>
      <c r="AB292" s="306">
        <v>257.28918457031301</v>
      </c>
      <c r="AC292" s="306">
        <v>259.96432495117199</v>
      </c>
      <c r="AD292" s="306">
        <v>262.21316528320301</v>
      </c>
    </row>
    <row r="293" spans="1:30" x14ac:dyDescent="0.25">
      <c r="A293" s="912" t="s">
        <v>627</v>
      </c>
      <c r="B293" s="914">
        <v>1.7776364088058501</v>
      </c>
      <c r="C293" s="914">
        <v>1.81885313987732</v>
      </c>
      <c r="D293" s="914">
        <v>1.9676311016082799</v>
      </c>
      <c r="E293" s="914">
        <v>2.0067975521087602</v>
      </c>
      <c r="F293" s="914">
        <v>1.88941025733948</v>
      </c>
      <c r="G293" s="914">
        <v>1.9042230844497701</v>
      </c>
      <c r="H293" s="914">
        <v>1.89033174514771</v>
      </c>
      <c r="I293" s="914">
        <v>1.9154095649719201</v>
      </c>
      <c r="J293" s="914">
        <v>1.93832087516785</v>
      </c>
      <c r="K293" s="914">
        <v>1.94072294235229</v>
      </c>
      <c r="L293" s="914">
        <v>1.9500694274902299</v>
      </c>
      <c r="M293" s="914">
        <v>1.9586881399154701</v>
      </c>
      <c r="N293" s="914">
        <v>1.9732190370559699</v>
      </c>
      <c r="O293" s="914">
        <v>1.9783339500427199</v>
      </c>
      <c r="P293" s="914">
        <v>1.98810267448425</v>
      </c>
      <c r="Q293" s="914">
        <v>1.9938982725143399</v>
      </c>
      <c r="R293" s="914">
        <v>2.0064799785614</v>
      </c>
      <c r="S293" s="914">
        <v>2.0119984149932901</v>
      </c>
      <c r="T293" s="914">
        <v>2.0163278579711901</v>
      </c>
      <c r="U293" s="914">
        <v>2.0205180644989</v>
      </c>
      <c r="V293" s="914">
        <v>2.0271856784820601</v>
      </c>
      <c r="W293" s="914">
        <v>2.0382561683654798</v>
      </c>
      <c r="X293" s="914">
        <v>2.0508835315704301</v>
      </c>
      <c r="Y293" s="914">
        <v>2.0641281604766801</v>
      </c>
      <c r="Z293" s="914">
        <v>2.0750961303710902</v>
      </c>
      <c r="AA293" s="306">
        <v>208.50216674804699</v>
      </c>
      <c r="AB293" s="306">
        <v>213.246017456055</v>
      </c>
      <c r="AC293" s="306">
        <v>217.97378540039099</v>
      </c>
      <c r="AD293" s="306">
        <v>222.08200073242199</v>
      </c>
    </row>
    <row r="294" spans="1:30" x14ac:dyDescent="0.25">
      <c r="A294" s="912" t="s">
        <v>616</v>
      </c>
      <c r="B294" s="914">
        <v>0</v>
      </c>
      <c r="C294" s="914">
        <v>0</v>
      </c>
      <c r="D294" s="914">
        <v>0</v>
      </c>
      <c r="E294" s="914">
        <v>0</v>
      </c>
      <c r="F294" s="914">
        <v>0</v>
      </c>
      <c r="G294" s="914">
        <v>1.5133428573608401</v>
      </c>
      <c r="H294" s="914">
        <v>1.3742095232009901</v>
      </c>
      <c r="I294" s="914">
        <v>1.19064140319824</v>
      </c>
      <c r="J294" s="914">
        <v>1.3664953708648699</v>
      </c>
      <c r="K294" s="914">
        <v>1.33487153053284</v>
      </c>
      <c r="L294" s="914">
        <v>1.31654036045074</v>
      </c>
      <c r="M294" s="914">
        <v>1.30223417282104</v>
      </c>
      <c r="N294" s="914">
        <v>1.30838906764984</v>
      </c>
      <c r="O294" s="914">
        <v>1.32146644592285</v>
      </c>
      <c r="P294" s="914">
        <v>1.3489345312118499</v>
      </c>
      <c r="Q294" s="914">
        <v>1.3524934053421001</v>
      </c>
      <c r="R294" s="914">
        <v>1.3570195436477701</v>
      </c>
      <c r="S294" s="914">
        <v>1.3626403808593801</v>
      </c>
      <c r="T294" s="914">
        <v>1.37119424343109</v>
      </c>
      <c r="U294" s="914">
        <v>1.3635557889938399</v>
      </c>
      <c r="V294" s="914">
        <v>1.3662919998168901</v>
      </c>
      <c r="W294" s="914">
        <v>1.37254309654236</v>
      </c>
      <c r="X294" s="914">
        <v>1.37609398365021</v>
      </c>
      <c r="Y294" s="914">
        <v>1.3784751892089799</v>
      </c>
      <c r="Z294" s="914">
        <v>1.3805129528045701</v>
      </c>
      <c r="AA294" s="306">
        <v>212.89649963378901</v>
      </c>
      <c r="AB294" s="306">
        <v>216.30204772949199</v>
      </c>
      <c r="AC294" s="306">
        <v>219.267822265625</v>
      </c>
      <c r="AD294" s="306">
        <v>222.079177856445</v>
      </c>
    </row>
    <row r="295" spans="1:30" x14ac:dyDescent="0.25">
      <c r="A295" s="912" t="s">
        <v>479</v>
      </c>
      <c r="B295" s="914">
        <v>26.672916412353501</v>
      </c>
      <c r="C295" s="914">
        <v>26.680915832519499</v>
      </c>
      <c r="D295" s="914">
        <v>27.799331665039102</v>
      </c>
      <c r="E295" s="914">
        <v>26.6892414093018</v>
      </c>
      <c r="F295" s="914">
        <v>24.2756156921387</v>
      </c>
      <c r="G295" s="914">
        <v>25.0947151184082</v>
      </c>
      <c r="H295" s="914">
        <v>25.0493679046631</v>
      </c>
      <c r="I295" s="914">
        <v>25.093559265136701</v>
      </c>
      <c r="J295" s="914">
        <v>25.339256286621101</v>
      </c>
      <c r="K295" s="914">
        <v>25.454051971435501</v>
      </c>
      <c r="L295" s="914">
        <v>25.7708930969238</v>
      </c>
      <c r="M295" s="914">
        <v>26.1124782562256</v>
      </c>
      <c r="N295" s="914">
        <v>26.474697113037099</v>
      </c>
      <c r="O295" s="914">
        <v>26.7419338226318</v>
      </c>
      <c r="P295" s="914">
        <v>27.1641750335693</v>
      </c>
      <c r="Q295" s="914">
        <v>27.529588699340799</v>
      </c>
      <c r="R295" s="914">
        <v>27.7828693389893</v>
      </c>
      <c r="S295" s="914">
        <v>27.754991531372099</v>
      </c>
      <c r="T295" s="914">
        <v>27.792310714721701</v>
      </c>
      <c r="U295" s="914">
        <v>27.7856330871582</v>
      </c>
      <c r="V295" s="914">
        <v>27.867961883544901</v>
      </c>
      <c r="W295" s="914">
        <v>28.2280673980713</v>
      </c>
      <c r="X295" s="914">
        <v>28.6754856109619</v>
      </c>
      <c r="Y295" s="914">
        <v>29.0858860015869</v>
      </c>
      <c r="Z295" s="914">
        <v>29.4564533233643</v>
      </c>
      <c r="AA295" s="306">
        <v>588.97521972656295</v>
      </c>
      <c r="AB295" s="306">
        <v>607.12139892578102</v>
      </c>
      <c r="AC295" s="306">
        <v>615.45501708984398</v>
      </c>
      <c r="AD295" s="306">
        <v>632.78991699218795</v>
      </c>
    </row>
    <row r="296" spans="1:30" x14ac:dyDescent="0.25">
      <c r="AA296" s="306">
        <v>1264.10656738281</v>
      </c>
      <c r="AB296" s="306">
        <v>1293.95861816406</v>
      </c>
      <c r="AC296" s="306">
        <v>1312.66088867188</v>
      </c>
      <c r="AD296" s="306">
        <v>1339.16430664063</v>
      </c>
    </row>
    <row r="297" spans="1:30" x14ac:dyDescent="0.25">
      <c r="A297" s="912" t="s">
        <v>513</v>
      </c>
      <c r="AA297" s="306">
        <v>0.38684526085853599</v>
      </c>
      <c r="AB297" s="306">
        <v>0.443235874176025</v>
      </c>
      <c r="AC297" s="306">
        <v>0.46923574805259699</v>
      </c>
      <c r="AD297" s="306">
        <v>0.51463860273361195</v>
      </c>
    </row>
    <row r="298" spans="1:30" x14ac:dyDescent="0.25">
      <c r="A298" s="912" t="s">
        <v>725</v>
      </c>
      <c r="AA298" s="306">
        <v>1264.49340820313</v>
      </c>
      <c r="AB298" s="306">
        <v>1294.40185546875</v>
      </c>
      <c r="AC298" s="306">
        <v>1313.13012695313</v>
      </c>
      <c r="AD298" s="306">
        <v>1339.67895507813</v>
      </c>
    </row>
    <row r="299" spans="1:30" x14ac:dyDescent="0.25">
      <c r="A299" s="912" t="s">
        <v>473</v>
      </c>
      <c r="B299" s="914">
        <v>231.10064697265599</v>
      </c>
      <c r="C299" s="914">
        <v>238.40081787109401</v>
      </c>
      <c r="D299" s="914">
        <v>250.00378417968801</v>
      </c>
      <c r="E299" s="914">
        <v>223.81915283203099</v>
      </c>
      <c r="F299" s="914">
        <v>215.29118347168</v>
      </c>
      <c r="G299" s="914">
        <v>224.09677124023401</v>
      </c>
      <c r="H299" s="914">
        <v>227.34310913085901</v>
      </c>
      <c r="I299" s="914">
        <v>227.85260009765599</v>
      </c>
      <c r="J299" s="914">
        <v>231.24415588378901</v>
      </c>
      <c r="K299" s="914">
        <v>234.18721008300801</v>
      </c>
      <c r="L299" s="914">
        <v>238.75100708007801</v>
      </c>
      <c r="M299" s="914">
        <v>243.18489074707</v>
      </c>
      <c r="N299" s="914">
        <v>248.169021606445</v>
      </c>
      <c r="O299" s="914">
        <v>252.72660827636699</v>
      </c>
      <c r="P299" s="914">
        <v>258.44952392578102</v>
      </c>
      <c r="Q299" s="914">
        <v>262.50808715820301</v>
      </c>
      <c r="R299" s="914">
        <v>265.94851684570301</v>
      </c>
      <c r="S299" s="914">
        <v>267.30322265625</v>
      </c>
      <c r="T299" s="914">
        <v>270.58847045898398</v>
      </c>
      <c r="U299" s="914">
        <v>272.04168701171898</v>
      </c>
      <c r="V299" s="914">
        <v>276.25186157226602</v>
      </c>
      <c r="W299" s="914">
        <v>282.20260620117199</v>
      </c>
      <c r="X299" s="914">
        <v>288.93267822265602</v>
      </c>
      <c r="Y299" s="914">
        <v>293.60751342773398</v>
      </c>
      <c r="Z299" s="914">
        <v>298.90402221679699</v>
      </c>
      <c r="AA299" s="306"/>
      <c r="AB299" s="306"/>
      <c r="AC299" s="306"/>
      <c r="AD299" s="306"/>
    </row>
    <row r="300" spans="1:30" x14ac:dyDescent="0.25">
      <c r="A300" s="912" t="s">
        <v>480</v>
      </c>
      <c r="B300" s="914">
        <v>170.28274536132801</v>
      </c>
      <c r="C300" s="914">
        <v>172.89260864257801</v>
      </c>
      <c r="D300" s="914">
        <v>183.352294921875</v>
      </c>
      <c r="E300" s="914">
        <v>163.89425659179699</v>
      </c>
      <c r="F300" s="914">
        <v>157.14476013183599</v>
      </c>
      <c r="G300" s="914">
        <v>164.69047546386699</v>
      </c>
      <c r="H300" s="914">
        <v>166.42567443847699</v>
      </c>
      <c r="I300" s="914">
        <v>169.00093078613301</v>
      </c>
      <c r="J300" s="914">
        <v>173.04789733886699</v>
      </c>
      <c r="K300" s="914">
        <v>176.93461608886699</v>
      </c>
      <c r="L300" s="914">
        <v>182.04042053222699</v>
      </c>
      <c r="M300" s="914">
        <v>187.24485778808599</v>
      </c>
      <c r="N300" s="914">
        <v>192.69107055664099</v>
      </c>
      <c r="O300" s="914">
        <v>197.508544921875</v>
      </c>
      <c r="P300" s="914">
        <v>203.26272583007801</v>
      </c>
      <c r="Q300" s="914">
        <v>208.31881713867199</v>
      </c>
      <c r="R300" s="914">
        <v>212.33370971679699</v>
      </c>
      <c r="S300" s="914">
        <v>214.22947692871099</v>
      </c>
      <c r="T300" s="914">
        <v>217.23475646972699</v>
      </c>
      <c r="U300" s="914">
        <v>219.65505981445301</v>
      </c>
      <c r="V300" s="914">
        <v>223.61666870117199</v>
      </c>
      <c r="W300" s="914">
        <v>229.31947326660199</v>
      </c>
      <c r="X300" s="914">
        <v>235.82908630371099</v>
      </c>
      <c r="Y300" s="914">
        <v>241.79779052734401</v>
      </c>
      <c r="Z300" s="914">
        <v>247.76422119140599</v>
      </c>
      <c r="AA300" s="306"/>
      <c r="AB300" s="306"/>
      <c r="AC300" s="306"/>
      <c r="AD300" s="306"/>
    </row>
    <row r="301" spans="1:30" x14ac:dyDescent="0.25">
      <c r="A301" s="912" t="s">
        <v>515</v>
      </c>
      <c r="B301" s="914">
        <v>216.08058166503901</v>
      </c>
      <c r="C301" s="914">
        <v>226.88609313964801</v>
      </c>
      <c r="D301" s="914">
        <v>248.66896057128901</v>
      </c>
      <c r="E301" s="914">
        <v>181.39601135253901</v>
      </c>
      <c r="F301" s="914">
        <v>151.70443725585901</v>
      </c>
      <c r="G301" s="914">
        <v>172.23597717285199</v>
      </c>
      <c r="H301" s="914">
        <v>186.63681030273401</v>
      </c>
      <c r="I301" s="914">
        <v>200.19924926757801</v>
      </c>
      <c r="J301" s="914">
        <v>207.03741455078099</v>
      </c>
      <c r="K301" s="914">
        <v>213.45352172851599</v>
      </c>
      <c r="L301" s="914">
        <v>218.62767028808599</v>
      </c>
      <c r="M301" s="914">
        <v>224.29528808593801</v>
      </c>
      <c r="N301" s="914">
        <v>229.96401977539099</v>
      </c>
      <c r="O301" s="914">
        <v>233.76069641113301</v>
      </c>
      <c r="P301" s="914">
        <v>239.065841674805</v>
      </c>
      <c r="Q301" s="914">
        <v>241.45851135253901</v>
      </c>
      <c r="R301" s="914">
        <v>242.383544921875</v>
      </c>
      <c r="S301" s="914">
        <v>242.41815185546901</v>
      </c>
      <c r="T301" s="914">
        <v>242.89247131347699</v>
      </c>
      <c r="U301" s="914">
        <v>240.916915893555</v>
      </c>
      <c r="V301" s="914">
        <v>241.41357421875</v>
      </c>
      <c r="W301" s="914">
        <v>242.50785827636699</v>
      </c>
      <c r="X301" s="914">
        <v>244.85752868652301</v>
      </c>
      <c r="Y301" s="914">
        <v>245.86729431152301</v>
      </c>
      <c r="Z301" s="914">
        <v>245.87216186523401</v>
      </c>
      <c r="AA301" s="306"/>
      <c r="AB301" s="306"/>
      <c r="AC301" s="306"/>
      <c r="AD301" s="306"/>
    </row>
    <row r="302" spans="1:30" x14ac:dyDescent="0.25">
      <c r="A302" s="912" t="s">
        <v>487</v>
      </c>
      <c r="B302" s="914">
        <v>564.62982177734398</v>
      </c>
      <c r="C302" s="914">
        <v>596.84759521484398</v>
      </c>
      <c r="D302" s="914">
        <v>693.65460205078102</v>
      </c>
      <c r="E302" s="914">
        <v>393.76574707031301</v>
      </c>
      <c r="F302" s="914">
        <v>430.90808105468801</v>
      </c>
      <c r="G302" s="914">
        <v>516.84307861328102</v>
      </c>
      <c r="H302" s="914">
        <v>568.141357421875</v>
      </c>
      <c r="I302" s="914">
        <v>610.89111328125</v>
      </c>
      <c r="J302" s="914">
        <v>646.41064453125</v>
      </c>
      <c r="K302" s="914">
        <v>676.39013671875</v>
      </c>
      <c r="L302" s="914">
        <v>696.72686767578102</v>
      </c>
      <c r="M302" s="914">
        <v>719.33160400390602</v>
      </c>
      <c r="N302" s="914">
        <v>737.13671875</v>
      </c>
      <c r="O302" s="914">
        <v>750.27301025390602</v>
      </c>
      <c r="P302" s="914">
        <v>759.33123779296898</v>
      </c>
      <c r="Q302" s="914">
        <v>760.33734130859398</v>
      </c>
      <c r="R302" s="914">
        <v>761.04602050781295</v>
      </c>
      <c r="S302" s="914">
        <v>771.55059814453102</v>
      </c>
      <c r="T302" s="914">
        <v>780.57421875</v>
      </c>
      <c r="U302" s="914">
        <v>783.147216796875</v>
      </c>
      <c r="V302" s="914">
        <v>796.70227050781295</v>
      </c>
      <c r="W302" s="914">
        <v>794.56842041015602</v>
      </c>
      <c r="X302" s="914">
        <v>811.39251708984398</v>
      </c>
      <c r="Y302" s="914">
        <v>832.07995605468795</v>
      </c>
      <c r="Z302" s="914">
        <v>835.36431884765602</v>
      </c>
      <c r="AA302" s="306"/>
      <c r="AB302" s="306"/>
      <c r="AC302" s="306"/>
      <c r="AD302" s="306"/>
    </row>
    <row r="303" spans="1:30" x14ac:dyDescent="0.25">
      <c r="A303" s="912" t="s">
        <v>516</v>
      </c>
      <c r="B303" s="914">
        <v>1182.09375</v>
      </c>
      <c r="C303" s="914">
        <v>1235.02709960938</v>
      </c>
      <c r="D303" s="914">
        <v>1375.6796875</v>
      </c>
      <c r="E303" s="914">
        <v>962.87518310546898</v>
      </c>
      <c r="F303" s="914">
        <v>955.04846191406295</v>
      </c>
      <c r="G303" s="914">
        <v>1077.86633300781</v>
      </c>
      <c r="H303" s="914">
        <v>1148.54699707031</v>
      </c>
      <c r="I303" s="914">
        <v>1207.94384765625</v>
      </c>
      <c r="J303" s="914">
        <v>1257.74011230469</v>
      </c>
      <c r="K303" s="914">
        <v>1300.96545410156</v>
      </c>
      <c r="L303" s="914">
        <v>1336.14599609375</v>
      </c>
      <c r="M303" s="914">
        <v>1374.056640625</v>
      </c>
      <c r="N303" s="914">
        <v>1407.96081542969</v>
      </c>
      <c r="O303" s="914">
        <v>1434.26879882813</v>
      </c>
      <c r="P303" s="914">
        <v>1460.109375</v>
      </c>
      <c r="Q303" s="914">
        <v>1472.62280273438</v>
      </c>
      <c r="R303" s="914">
        <v>1481.71179199219</v>
      </c>
      <c r="S303" s="914">
        <v>1495.50146484375</v>
      </c>
      <c r="T303" s="914">
        <v>1511.28991699219</v>
      </c>
      <c r="U303" s="914">
        <v>1515.76086425781</v>
      </c>
      <c r="V303" s="914">
        <v>1537.984375</v>
      </c>
      <c r="W303" s="914">
        <v>1548.59838867188</v>
      </c>
      <c r="X303" s="914">
        <v>1581.01184082031</v>
      </c>
      <c r="Y303" s="914">
        <v>1613.3525390625</v>
      </c>
      <c r="Z303" s="914">
        <v>1627.90478515625</v>
      </c>
      <c r="AA303" s="306"/>
      <c r="AB303" s="306"/>
      <c r="AC303" s="306"/>
      <c r="AD303" s="306"/>
    </row>
    <row r="304" spans="1:30" x14ac:dyDescent="0.25">
      <c r="A304" s="912" t="s">
        <v>629</v>
      </c>
      <c r="B304" s="914">
        <v>3.2131362706422799E-2</v>
      </c>
      <c r="C304" s="914">
        <v>4.0145620703697198E-2</v>
      </c>
      <c r="D304" s="914">
        <v>3.7687420845031697E-2</v>
      </c>
      <c r="E304" s="914">
        <v>2.54867300391197E-2</v>
      </c>
      <c r="F304" s="914">
        <v>5.4010055959224701E-2</v>
      </c>
      <c r="G304" s="914">
        <v>6.77362531423569E-2</v>
      </c>
      <c r="H304" s="914">
        <v>8.3178348839283003E-2</v>
      </c>
      <c r="I304" s="914">
        <v>9.4869345426559407E-2</v>
      </c>
      <c r="J304" s="914">
        <v>0.113030456006527</v>
      </c>
      <c r="K304" s="914">
        <v>1.97330021858215</v>
      </c>
      <c r="L304" s="914">
        <v>4.8567194938659703</v>
      </c>
      <c r="M304" s="914">
        <v>6.7303171157836896</v>
      </c>
      <c r="N304" s="914">
        <v>10.514961242675801</v>
      </c>
      <c r="O304" s="914">
        <v>15.7356252670288</v>
      </c>
      <c r="P304" s="914">
        <v>22.100711822509801</v>
      </c>
      <c r="Q304" s="914">
        <v>25.9892463684082</v>
      </c>
      <c r="R304" s="914">
        <v>35.539012908935497</v>
      </c>
      <c r="S304" s="914">
        <v>35.597633361816399</v>
      </c>
      <c r="T304" s="914">
        <v>34.1677055358887</v>
      </c>
      <c r="U304" s="914">
        <v>35.613494873046903</v>
      </c>
      <c r="V304" s="914">
        <v>37.140151977539098</v>
      </c>
      <c r="W304" s="914">
        <v>45.276290893554702</v>
      </c>
      <c r="X304" s="914">
        <v>47.974498748779297</v>
      </c>
      <c r="Y304" s="914">
        <v>53.190200805664098</v>
      </c>
      <c r="Z304" s="914">
        <v>54.179977416992202</v>
      </c>
      <c r="AA304" s="306"/>
      <c r="AB304" s="306"/>
      <c r="AC304" s="306"/>
      <c r="AD304" s="306"/>
    </row>
    <row r="305" spans="1:30" x14ac:dyDescent="0.25">
      <c r="A305" s="912" t="s">
        <v>518</v>
      </c>
      <c r="B305" s="914">
        <v>1182.12585449219</v>
      </c>
      <c r="C305" s="914">
        <v>1235.06726074219</v>
      </c>
      <c r="D305" s="914">
        <v>1375.71740722656</v>
      </c>
      <c r="E305" s="914">
        <v>962.90069580078102</v>
      </c>
      <c r="F305" s="914">
        <v>955.10247802734398</v>
      </c>
      <c r="G305" s="914">
        <v>1077.93408203125</v>
      </c>
      <c r="H305" s="914">
        <v>1148.63012695313</v>
      </c>
      <c r="I305" s="914">
        <v>1208.03869628906</v>
      </c>
      <c r="J305" s="914">
        <v>1257.85314941406</v>
      </c>
      <c r="K305" s="914">
        <v>1302.93872070313</v>
      </c>
      <c r="L305" s="914">
        <v>1341.00268554688</v>
      </c>
      <c r="M305" s="914">
        <v>1380.78698730469</v>
      </c>
      <c r="N305" s="914">
        <v>1418.47583007813</v>
      </c>
      <c r="O305" s="914">
        <v>1450.00439453125</v>
      </c>
      <c r="P305" s="914">
        <v>1482.21008300781</v>
      </c>
      <c r="Q305" s="914">
        <v>1498.61206054688</v>
      </c>
      <c r="R305" s="914">
        <v>1517.25085449219</v>
      </c>
      <c r="S305" s="914">
        <v>1531.09912109375</v>
      </c>
      <c r="T305" s="914">
        <v>1545.45764160156</v>
      </c>
      <c r="U305" s="914">
        <v>1551.37438964844</v>
      </c>
      <c r="V305" s="914">
        <v>1575.12451171875</v>
      </c>
      <c r="W305" s="914">
        <v>1593.87463378906</v>
      </c>
      <c r="X305" s="914">
        <v>1628.986328125</v>
      </c>
      <c r="Y305" s="914">
        <v>1666.54272460938</v>
      </c>
      <c r="Z305" s="914">
        <v>1682.08471679688</v>
      </c>
      <c r="AA305" s="306"/>
      <c r="AB305" s="306"/>
      <c r="AC305" s="306"/>
      <c r="AD305" s="306"/>
    </row>
    <row r="306" spans="1:30" x14ac:dyDescent="0.25">
      <c r="AA306" s="306"/>
      <c r="AB306" s="306"/>
      <c r="AC306" s="306"/>
      <c r="AD306" s="306"/>
    </row>
    <row r="307" spans="1:30" x14ac:dyDescent="0.25">
      <c r="AA307" s="306"/>
      <c r="AB307" s="306"/>
      <c r="AC307" s="306"/>
      <c r="AD307" s="306"/>
    </row>
    <row r="308" spans="1:30" x14ac:dyDescent="0.25">
      <c r="A308" s="912" t="s">
        <v>726</v>
      </c>
      <c r="AA308" s="306"/>
      <c r="AB308" s="306"/>
      <c r="AC308" s="306"/>
      <c r="AD308" s="306"/>
    </row>
    <row r="309" spans="1:30" x14ac:dyDescent="0.25">
      <c r="A309" s="912" t="s">
        <v>473</v>
      </c>
      <c r="AA309" s="306"/>
      <c r="AB309" s="306"/>
      <c r="AC309" s="306"/>
      <c r="AD309" s="306"/>
    </row>
    <row r="310" spans="1:30" x14ac:dyDescent="0.25">
      <c r="A310" s="912" t="s">
        <v>609</v>
      </c>
      <c r="B310" s="914">
        <v>23.2563285827637</v>
      </c>
      <c r="C310" s="914">
        <v>24.973464965820298</v>
      </c>
      <c r="D310" s="914">
        <v>29.096658706665</v>
      </c>
      <c r="E310" s="914">
        <v>22.194786071777301</v>
      </c>
      <c r="F310" s="914">
        <v>21.477947235107401</v>
      </c>
      <c r="G310" s="914">
        <v>24.1509113311768</v>
      </c>
      <c r="H310" s="914">
        <v>26.557428359985401</v>
      </c>
      <c r="I310" s="914">
        <v>28.936630249023398</v>
      </c>
      <c r="J310" s="914">
        <v>31.2247924804688</v>
      </c>
      <c r="K310" s="914">
        <v>33.758499145507798</v>
      </c>
      <c r="L310" s="914">
        <v>35.743316650390597</v>
      </c>
      <c r="M310" s="914">
        <v>37.599853515625</v>
      </c>
      <c r="N310" s="914">
        <v>39.552177429199197</v>
      </c>
      <c r="O310" s="914">
        <v>40.9905815124512</v>
      </c>
      <c r="P310" s="914">
        <v>42.334590911865199</v>
      </c>
      <c r="Q310" s="914">
        <v>43.7123832702637</v>
      </c>
      <c r="R310" s="914">
        <v>44.985881805419901</v>
      </c>
      <c r="S310" s="914">
        <v>46.523696899414098</v>
      </c>
      <c r="T310" s="914">
        <v>47.765018463134801</v>
      </c>
      <c r="U310" s="914">
        <v>48.143123626708999</v>
      </c>
      <c r="V310" s="914">
        <v>49.548942565917997</v>
      </c>
      <c r="W310" s="914">
        <v>50.986961364746101</v>
      </c>
      <c r="X310" s="914">
        <v>52.580905914306598</v>
      </c>
      <c r="Y310" s="914">
        <v>53.965934753417997</v>
      </c>
      <c r="Z310" s="914">
        <v>55.648300170898402</v>
      </c>
      <c r="AA310" s="306"/>
      <c r="AB310" s="306"/>
      <c r="AC310" s="306"/>
      <c r="AD310" s="306"/>
    </row>
    <row r="311" spans="1:30" x14ac:dyDescent="0.25">
      <c r="A311" s="912" t="s">
        <v>610</v>
      </c>
      <c r="B311" s="914">
        <v>17.979913711547901</v>
      </c>
      <c r="C311" s="914">
        <v>19.664405822753899</v>
      </c>
      <c r="D311" s="914">
        <v>24.466548919677699</v>
      </c>
      <c r="E311" s="914">
        <v>16.188474655151399</v>
      </c>
      <c r="F311" s="914">
        <v>13.8549404144287</v>
      </c>
      <c r="G311" s="914">
        <v>16.4927158355713</v>
      </c>
      <c r="H311" s="914">
        <v>18.5955104827881</v>
      </c>
      <c r="I311" s="914">
        <v>20.348911285400401</v>
      </c>
      <c r="J311" s="914">
        <v>22.1809597015381</v>
      </c>
      <c r="K311" s="914">
        <v>24.3712253570557</v>
      </c>
      <c r="L311" s="914">
        <v>25.9372863769531</v>
      </c>
      <c r="M311" s="914">
        <v>27.5034885406494</v>
      </c>
      <c r="N311" s="914">
        <v>29.0146675109863</v>
      </c>
      <c r="O311" s="914">
        <v>30.168525695800799</v>
      </c>
      <c r="P311" s="914">
        <v>31.2883205413818</v>
      </c>
      <c r="Q311" s="914">
        <v>32.275276184082003</v>
      </c>
      <c r="R311" s="914">
        <v>33.246475219726598</v>
      </c>
      <c r="S311" s="914">
        <v>34.4459838867188</v>
      </c>
      <c r="T311" s="914">
        <v>35.640113830566399</v>
      </c>
      <c r="U311" s="914">
        <v>35.882171630859403</v>
      </c>
      <c r="V311" s="914">
        <v>37.065284729003899</v>
      </c>
      <c r="W311" s="914">
        <v>38.310382843017599</v>
      </c>
      <c r="X311" s="914">
        <v>39.641868591308601</v>
      </c>
      <c r="Y311" s="914">
        <v>40.905982971191399</v>
      </c>
      <c r="Z311" s="914">
        <v>42.365245819091797</v>
      </c>
      <c r="AA311" s="306"/>
      <c r="AB311" s="306"/>
      <c r="AC311" s="306"/>
      <c r="AD311" s="306"/>
    </row>
    <row r="312" spans="1:30" x14ac:dyDescent="0.25">
      <c r="A312" s="912" t="s">
        <v>510</v>
      </c>
      <c r="B312" s="914">
        <v>13.3406887054443</v>
      </c>
      <c r="C312" s="914">
        <v>12.691158294677701</v>
      </c>
      <c r="D312" s="914">
        <v>13.2631158828735</v>
      </c>
      <c r="E312" s="914">
        <v>11.061133384704601</v>
      </c>
      <c r="F312" s="914">
        <v>11.614992141723601</v>
      </c>
      <c r="G312" s="914">
        <v>12.061012268066399</v>
      </c>
      <c r="H312" s="914">
        <v>12.1186227798462</v>
      </c>
      <c r="I312" s="914">
        <v>12.236530303955099</v>
      </c>
      <c r="J312" s="914">
        <v>12.476335525512701</v>
      </c>
      <c r="K312" s="914">
        <v>12.8177757263184</v>
      </c>
      <c r="L312" s="914">
        <v>13.333586692810099</v>
      </c>
      <c r="M312" s="914">
        <v>13.900782585144</v>
      </c>
      <c r="N312" s="914">
        <v>14.492022514343301</v>
      </c>
      <c r="O312" s="914">
        <v>15.1641521453857</v>
      </c>
      <c r="P312" s="914">
        <v>15.945101737976101</v>
      </c>
      <c r="Q312" s="914">
        <v>16.661958694458001</v>
      </c>
      <c r="R312" s="914">
        <v>17.186347961425799</v>
      </c>
      <c r="S312" s="914">
        <v>17.308622360229499</v>
      </c>
      <c r="T312" s="914">
        <v>17.6488857269287</v>
      </c>
      <c r="U312" s="914">
        <v>17.9868679046631</v>
      </c>
      <c r="V312" s="914">
        <v>18.635103225708001</v>
      </c>
      <c r="W312" s="914">
        <v>19.4500408172607</v>
      </c>
      <c r="X312" s="914">
        <v>20.3657627105713</v>
      </c>
      <c r="Y312" s="914">
        <v>21.1996364593506</v>
      </c>
      <c r="Z312" s="914">
        <v>22.095756530761701</v>
      </c>
      <c r="AA312" s="306"/>
      <c r="AB312" s="306"/>
      <c r="AC312" s="306"/>
      <c r="AD312" s="306"/>
    </row>
    <row r="313" spans="1:30" x14ac:dyDescent="0.25">
      <c r="A313" s="912" t="s">
        <v>479</v>
      </c>
      <c r="B313" s="914">
        <v>30.388185501098601</v>
      </c>
      <c r="C313" s="914">
        <v>31.181957244873001</v>
      </c>
      <c r="D313" s="914">
        <v>32.471218109130902</v>
      </c>
      <c r="E313" s="914">
        <v>31.722009658813501</v>
      </c>
      <c r="F313" s="914">
        <v>29.6958332061768</v>
      </c>
      <c r="G313" s="914">
        <v>31.365653991699201</v>
      </c>
      <c r="H313" s="914">
        <v>32.001548767089801</v>
      </c>
      <c r="I313" s="914">
        <v>32.924289703369098</v>
      </c>
      <c r="J313" s="914">
        <v>34.030689239502003</v>
      </c>
      <c r="K313" s="914">
        <v>34.890899658203097</v>
      </c>
      <c r="L313" s="914">
        <v>35.995761871337898</v>
      </c>
      <c r="M313" s="914">
        <v>37.227577209472699</v>
      </c>
      <c r="N313" s="914">
        <v>38.5026245117188</v>
      </c>
      <c r="O313" s="914">
        <v>39.672031402587898</v>
      </c>
      <c r="P313" s="914">
        <v>41.180412292480497</v>
      </c>
      <c r="Q313" s="914">
        <v>42.698352813720703</v>
      </c>
      <c r="R313" s="914">
        <v>44.053905487060497</v>
      </c>
      <c r="S313" s="914">
        <v>45.011627197265597</v>
      </c>
      <c r="T313" s="914">
        <v>46.023651123046903</v>
      </c>
      <c r="U313" s="914">
        <v>46.971866607666001</v>
      </c>
      <c r="V313" s="914">
        <v>48.032154083252003</v>
      </c>
      <c r="W313" s="914">
        <v>49.565544128417997</v>
      </c>
      <c r="X313" s="914">
        <v>51.240451812744098</v>
      </c>
      <c r="Y313" s="914">
        <v>52.949665069580099</v>
      </c>
      <c r="Z313" s="914">
        <v>54.583251953125</v>
      </c>
      <c r="AA313" s="306"/>
      <c r="AB313" s="306"/>
      <c r="AC313" s="306"/>
      <c r="AD313" s="306"/>
    </row>
    <row r="314" spans="1:30" x14ac:dyDescent="0.25">
      <c r="AA314" s="306"/>
      <c r="AB314" s="306"/>
      <c r="AC314" s="306"/>
      <c r="AD314" s="306"/>
    </row>
    <row r="315" spans="1:30" x14ac:dyDescent="0.25">
      <c r="A315" s="912" t="s">
        <v>480</v>
      </c>
      <c r="AA315" s="306"/>
      <c r="AB315" s="306"/>
      <c r="AC315" s="306"/>
      <c r="AD315" s="306"/>
    </row>
    <row r="316" spans="1:30" x14ac:dyDescent="0.25">
      <c r="A316" s="912" t="s">
        <v>609</v>
      </c>
      <c r="B316" s="914">
        <v>20.6414604187012</v>
      </c>
      <c r="C316" s="914">
        <v>23.041419982910199</v>
      </c>
      <c r="D316" s="914">
        <v>24.0578727722168</v>
      </c>
      <c r="E316" s="914">
        <v>21.6475944519043</v>
      </c>
      <c r="F316" s="914">
        <v>18.202018737793001</v>
      </c>
      <c r="G316" s="914">
        <v>20.8180141448975</v>
      </c>
      <c r="H316" s="914">
        <v>23.171899795532202</v>
      </c>
      <c r="I316" s="914">
        <v>25.4778232574463</v>
      </c>
      <c r="J316" s="914">
        <v>27.6801948547363</v>
      </c>
      <c r="K316" s="914">
        <v>30.122516632080099</v>
      </c>
      <c r="L316" s="914">
        <v>32.012001037597699</v>
      </c>
      <c r="M316" s="914">
        <v>33.770454406738303</v>
      </c>
      <c r="N316" s="914">
        <v>35.6212158203125</v>
      </c>
      <c r="O316" s="914">
        <v>36.9546508789063</v>
      </c>
      <c r="P316" s="914">
        <v>38.187240600585902</v>
      </c>
      <c r="Q316" s="914">
        <v>39.449775695800803</v>
      </c>
      <c r="R316" s="914">
        <v>40.605808258056598</v>
      </c>
      <c r="S316" s="914">
        <v>42.0293998718262</v>
      </c>
      <c r="T316" s="914">
        <v>43.160079956054702</v>
      </c>
      <c r="U316" s="914">
        <v>43.432140350341797</v>
      </c>
      <c r="V316" s="914">
        <v>44.7312202453613</v>
      </c>
      <c r="W316" s="914">
        <v>46.061283111572301</v>
      </c>
      <c r="X316" s="914">
        <v>47.542713165283203</v>
      </c>
      <c r="Y316" s="914">
        <v>48.814918518066399</v>
      </c>
      <c r="Z316" s="914">
        <v>50.382663726806598</v>
      </c>
      <c r="AA316" s="306"/>
      <c r="AB316" s="306"/>
      <c r="AC316" s="306"/>
      <c r="AD316" s="306"/>
    </row>
    <row r="317" spans="1:30" x14ac:dyDescent="0.25">
      <c r="A317" s="912" t="s">
        <v>610</v>
      </c>
      <c r="B317" s="914">
        <v>14.625953674316399</v>
      </c>
      <c r="C317" s="914">
        <v>16.054100036621101</v>
      </c>
      <c r="D317" s="914">
        <v>21.4175109863281</v>
      </c>
      <c r="E317" s="914">
        <v>14.1806936264038</v>
      </c>
      <c r="F317" s="914">
        <v>11.1656141281128</v>
      </c>
      <c r="G317" s="914">
        <v>13.940697669982899</v>
      </c>
      <c r="H317" s="914">
        <v>16.055301666259801</v>
      </c>
      <c r="I317" s="914">
        <v>18.2004089355469</v>
      </c>
      <c r="J317" s="914">
        <v>20.072311401367202</v>
      </c>
      <c r="K317" s="914">
        <v>21.922914505004901</v>
      </c>
      <c r="L317" s="914">
        <v>23.436100006103501</v>
      </c>
      <c r="M317" s="914">
        <v>24.993484497070298</v>
      </c>
      <c r="N317" s="914">
        <v>26.4673175811768</v>
      </c>
      <c r="O317" s="914">
        <v>27.614213943481399</v>
      </c>
      <c r="P317" s="914">
        <v>28.7058811187744</v>
      </c>
      <c r="Q317" s="914">
        <v>29.4854850769043</v>
      </c>
      <c r="R317" s="914">
        <v>30.5256862640381</v>
      </c>
      <c r="S317" s="914">
        <v>31.597146987915</v>
      </c>
      <c r="T317" s="914">
        <v>32.548923492431598</v>
      </c>
      <c r="U317" s="914">
        <v>32.997859954833999</v>
      </c>
      <c r="V317" s="914">
        <v>34.165657043457003</v>
      </c>
      <c r="W317" s="914">
        <v>35.000114440917997</v>
      </c>
      <c r="X317" s="914">
        <v>36.3691596984863</v>
      </c>
      <c r="Y317" s="914">
        <v>37.943679809570298</v>
      </c>
      <c r="Z317" s="914">
        <v>39.006439208984403</v>
      </c>
      <c r="AA317" s="306"/>
      <c r="AB317" s="306"/>
      <c r="AC317" s="306"/>
      <c r="AD317" s="306"/>
    </row>
    <row r="318" spans="1:30" x14ac:dyDescent="0.25">
      <c r="A318" s="912" t="s">
        <v>723</v>
      </c>
      <c r="B318" s="914">
        <v>8.64862155914307</v>
      </c>
      <c r="C318" s="914">
        <v>10.3074436187744</v>
      </c>
      <c r="D318" s="914">
        <v>13.7067270278931</v>
      </c>
      <c r="E318" s="914">
        <v>6.9139137268066397</v>
      </c>
      <c r="F318" s="914">
        <v>6.0204734802246103</v>
      </c>
      <c r="G318" s="914">
        <v>9.0269355773925799</v>
      </c>
      <c r="H318" s="914">
        <v>10.767860412597701</v>
      </c>
      <c r="I318" s="914">
        <v>12.611166954040501</v>
      </c>
      <c r="J318" s="914">
        <v>14.3083610534668</v>
      </c>
      <c r="K318" s="914">
        <v>16.269037246704102</v>
      </c>
      <c r="L318" s="914">
        <v>17.569841384887699</v>
      </c>
      <c r="M318" s="914">
        <v>18.511304855346701</v>
      </c>
      <c r="N318" s="914">
        <v>19.7891235351563</v>
      </c>
      <c r="O318" s="914">
        <v>20.573390960693398</v>
      </c>
      <c r="P318" s="914">
        <v>21.404872894287099</v>
      </c>
      <c r="Q318" s="914">
        <v>22.193275451660199</v>
      </c>
      <c r="R318" s="914">
        <v>22.9593410491943</v>
      </c>
      <c r="S318" s="914">
        <v>23.7928276062012</v>
      </c>
      <c r="T318" s="914">
        <v>24.398706436157202</v>
      </c>
      <c r="U318" s="914">
        <v>24.292516708373999</v>
      </c>
      <c r="V318" s="914">
        <v>25.0136394500732</v>
      </c>
      <c r="W318" s="914">
        <v>25.751762390136701</v>
      </c>
      <c r="X318" s="914">
        <v>26.606601715087901</v>
      </c>
      <c r="Y318" s="914">
        <v>27.4516487121582</v>
      </c>
      <c r="Z318" s="914">
        <v>28.286119461059599</v>
      </c>
      <c r="AA318" s="306"/>
      <c r="AB318" s="306"/>
      <c r="AC318" s="306"/>
      <c r="AD318" s="306"/>
    </row>
    <row r="319" spans="1:30" x14ac:dyDescent="0.25">
      <c r="A319" s="912" t="s">
        <v>510</v>
      </c>
      <c r="B319" s="914">
        <v>11.5840444564819</v>
      </c>
      <c r="C319" s="914">
        <v>10.9898433685303</v>
      </c>
      <c r="D319" s="914">
        <v>11.588038444519</v>
      </c>
      <c r="E319" s="914">
        <v>9.1930990219116193</v>
      </c>
      <c r="F319" s="914">
        <v>9.8226709365844709</v>
      </c>
      <c r="G319" s="914">
        <v>10.233100891113301</v>
      </c>
      <c r="H319" s="914">
        <v>10.334647178649901</v>
      </c>
      <c r="I319" s="914">
        <v>10.4663095474243</v>
      </c>
      <c r="J319" s="914">
        <v>10.734943389892599</v>
      </c>
      <c r="K319" s="914">
        <v>11.106437683105501</v>
      </c>
      <c r="L319" s="914">
        <v>11.600093841552701</v>
      </c>
      <c r="M319" s="914">
        <v>12.1229543685913</v>
      </c>
      <c r="N319" s="914">
        <v>12.6781578063965</v>
      </c>
      <c r="O319" s="914">
        <v>13.3144483566284</v>
      </c>
      <c r="P319" s="914">
        <v>14.069993019104</v>
      </c>
      <c r="Q319" s="914">
        <v>14.7329454421997</v>
      </c>
      <c r="R319" s="914">
        <v>15.223674774169901</v>
      </c>
      <c r="S319" s="914">
        <v>15.329276084899901</v>
      </c>
      <c r="T319" s="914">
        <v>15.6546773910522</v>
      </c>
      <c r="U319" s="914">
        <v>15.9318437576294</v>
      </c>
      <c r="V319" s="914">
        <v>16.5416469573975</v>
      </c>
      <c r="W319" s="914">
        <v>17.316057205200199</v>
      </c>
      <c r="X319" s="914">
        <v>18.194717407226602</v>
      </c>
      <c r="Y319" s="914">
        <v>18.967941284179702</v>
      </c>
      <c r="Z319" s="914">
        <v>19.811794281005898</v>
      </c>
      <c r="AA319" s="306"/>
      <c r="AB319" s="306"/>
      <c r="AC319" s="306"/>
      <c r="AD319" s="306"/>
    </row>
    <row r="320" spans="1:30" x14ac:dyDescent="0.25">
      <c r="A320" s="912" t="s">
        <v>479</v>
      </c>
      <c r="B320" s="914">
        <v>27.631908416748001</v>
      </c>
      <c r="C320" s="914">
        <v>28.029735565185501</v>
      </c>
      <c r="D320" s="914">
        <v>29.6960258483887</v>
      </c>
      <c r="E320" s="914">
        <v>28.491619110107401</v>
      </c>
      <c r="F320" s="914">
        <v>25.7724418640137</v>
      </c>
      <c r="G320" s="914">
        <v>26.858903884887699</v>
      </c>
      <c r="H320" s="914">
        <v>27.045906066894499</v>
      </c>
      <c r="I320" s="914">
        <v>27.5620422363281</v>
      </c>
      <c r="J320" s="914">
        <v>28.370775222778299</v>
      </c>
      <c r="K320" s="914">
        <v>29.106733322143601</v>
      </c>
      <c r="L320" s="914">
        <v>30.1617736816406</v>
      </c>
      <c r="M320" s="914">
        <v>31.290737152099599</v>
      </c>
      <c r="N320" s="914">
        <v>32.536418914794901</v>
      </c>
      <c r="O320" s="914">
        <v>33.661582946777301</v>
      </c>
      <c r="P320" s="914">
        <v>35.072307586669901</v>
      </c>
      <c r="Q320" s="914">
        <v>36.4632377624512</v>
      </c>
      <c r="R320" s="914">
        <v>37.713531494140597</v>
      </c>
      <c r="S320" s="914">
        <v>38.535266876220703</v>
      </c>
      <c r="T320" s="914">
        <v>39.429233551025398</v>
      </c>
      <c r="U320" s="914">
        <v>40.172752380371101</v>
      </c>
      <c r="V320" s="914">
        <v>41.0662841796875</v>
      </c>
      <c r="W320" s="914">
        <v>42.386928558349602</v>
      </c>
      <c r="X320" s="914">
        <v>43.920989990234403</v>
      </c>
      <c r="Y320" s="914">
        <v>45.4139213562012</v>
      </c>
      <c r="Z320" s="914">
        <v>46.925571441650398</v>
      </c>
      <c r="AA320" s="306"/>
      <c r="AB320" s="306"/>
      <c r="AC320" s="306"/>
      <c r="AD320" s="306"/>
    </row>
    <row r="321" spans="1:30" x14ac:dyDescent="0.25">
      <c r="AA321" s="306"/>
      <c r="AB321" s="306"/>
      <c r="AC321" s="306"/>
      <c r="AD321" s="306"/>
    </row>
    <row r="322" spans="1:30" x14ac:dyDescent="0.25">
      <c r="A322" s="912" t="s">
        <v>612</v>
      </c>
      <c r="AA322" s="306"/>
      <c r="AB322" s="306"/>
      <c r="AC322" s="306"/>
      <c r="AD322" s="306"/>
    </row>
    <row r="323" spans="1:30" x14ac:dyDescent="0.25">
      <c r="A323" s="912" t="s">
        <v>609</v>
      </c>
      <c r="B323" s="914">
        <v>20.489143371581999</v>
      </c>
      <c r="C323" s="914">
        <v>23.3795166015625</v>
      </c>
      <c r="D323" s="914">
        <v>27.232301712036101</v>
      </c>
      <c r="E323" s="914">
        <v>22.957033157348601</v>
      </c>
      <c r="F323" s="914">
        <v>17.265552520751999</v>
      </c>
      <c r="G323" s="914">
        <v>19.8652458190918</v>
      </c>
      <c r="H323" s="914">
        <v>22.207704544067401</v>
      </c>
      <c r="I323" s="914">
        <v>24.495702743530298</v>
      </c>
      <c r="J323" s="914">
        <v>26.6714878082275</v>
      </c>
      <c r="K323" s="914">
        <v>29.0830192565918</v>
      </c>
      <c r="L323" s="914">
        <v>30.951156616210898</v>
      </c>
      <c r="M323" s="914">
        <v>32.690711975097699</v>
      </c>
      <c r="N323" s="914">
        <v>34.514808654785199</v>
      </c>
      <c r="O323" s="914">
        <v>35.846107482910199</v>
      </c>
      <c r="P323" s="914">
        <v>37.040077209472699</v>
      </c>
      <c r="Q323" s="914">
        <v>38.301750183105497</v>
      </c>
      <c r="R323" s="914">
        <v>39.421558380127003</v>
      </c>
      <c r="S323" s="914">
        <v>40.814861297607401</v>
      </c>
      <c r="T323" s="914">
        <v>41.884078979492202</v>
      </c>
      <c r="U323" s="914">
        <v>42.155609130859403</v>
      </c>
      <c r="V323" s="914">
        <v>43.402267456054702</v>
      </c>
      <c r="W323" s="914">
        <v>44.705905914306598</v>
      </c>
      <c r="X323" s="914">
        <v>46.153343200683601</v>
      </c>
      <c r="Y323" s="914">
        <v>47.236614227294901</v>
      </c>
      <c r="Z323" s="914">
        <v>48.820529937744098</v>
      </c>
      <c r="AA323" s="306"/>
      <c r="AB323" s="306"/>
      <c r="AC323" s="306"/>
      <c r="AD323" s="306"/>
    </row>
    <row r="324" spans="1:30" x14ac:dyDescent="0.25">
      <c r="A324" s="912" t="s">
        <v>610</v>
      </c>
      <c r="B324" s="914">
        <v>15.3226671218872</v>
      </c>
      <c r="C324" s="914">
        <v>16.8219394683838</v>
      </c>
      <c r="D324" s="914">
        <v>22.4200763702393</v>
      </c>
      <c r="E324" s="914">
        <v>14.749831199646</v>
      </c>
      <c r="F324" s="914">
        <v>11.025536537170399</v>
      </c>
      <c r="G324" s="914">
        <v>14.0721025466919</v>
      </c>
      <c r="H324" s="914">
        <v>16.2283020019531</v>
      </c>
      <c r="I324" s="914">
        <v>18.6841716766357</v>
      </c>
      <c r="J324" s="914">
        <v>20.619239807128899</v>
      </c>
      <c r="K324" s="914">
        <v>22.302150726318398</v>
      </c>
      <c r="L324" s="914">
        <v>23.831027984619102</v>
      </c>
      <c r="M324" s="914">
        <v>25.434989929199201</v>
      </c>
      <c r="N324" s="914">
        <v>26.940843582153299</v>
      </c>
      <c r="O324" s="914">
        <v>28.1489963531494</v>
      </c>
      <c r="P324" s="914">
        <v>29.2844352722168</v>
      </c>
      <c r="Q324" s="914">
        <v>29.987220764160199</v>
      </c>
      <c r="R324" s="914">
        <v>31.1475830078125</v>
      </c>
      <c r="S324" s="914">
        <v>32.191192626953097</v>
      </c>
      <c r="T324" s="914">
        <v>33.043167114257798</v>
      </c>
      <c r="U324" s="914">
        <v>33.6753120422363</v>
      </c>
      <c r="V324" s="914">
        <v>34.892765045166001</v>
      </c>
      <c r="W324" s="914">
        <v>35.508182525634801</v>
      </c>
      <c r="X324" s="914">
        <v>36.966400146484403</v>
      </c>
      <c r="Y324" s="914">
        <v>38.821296691894503</v>
      </c>
      <c r="Z324" s="914">
        <v>39.679729461669901</v>
      </c>
      <c r="AA324" s="306"/>
      <c r="AB324" s="306"/>
      <c r="AC324" s="306"/>
      <c r="AD324" s="306"/>
    </row>
    <row r="325" spans="1:30" x14ac:dyDescent="0.25">
      <c r="A325" s="912" t="s">
        <v>611</v>
      </c>
      <c r="B325" s="914">
        <v>8.9709205627441406</v>
      </c>
      <c r="C325" s="914">
        <v>10.5954837799072</v>
      </c>
      <c r="D325" s="914">
        <v>14.049506187439</v>
      </c>
      <c r="E325" s="914">
        <v>7.1343002319335902</v>
      </c>
      <c r="F325" s="914">
        <v>10.215766906738301</v>
      </c>
      <c r="G325" s="914">
        <v>12.8617763519287</v>
      </c>
      <c r="H325" s="914">
        <v>14.814771652221699</v>
      </c>
      <c r="I325" s="914">
        <v>16.696189880371101</v>
      </c>
      <c r="J325" s="914">
        <v>18.396284103393601</v>
      </c>
      <c r="K325" s="914">
        <v>20.378862380981399</v>
      </c>
      <c r="L325" s="914">
        <v>21.7460041046143</v>
      </c>
      <c r="M325" s="914">
        <v>22.969861984252901</v>
      </c>
      <c r="N325" s="914">
        <v>24.3396511077881</v>
      </c>
      <c r="O325" s="914">
        <v>25.3345756530762</v>
      </c>
      <c r="P325" s="914">
        <v>26.3205471038818</v>
      </c>
      <c r="Q325" s="914">
        <v>27.310920715331999</v>
      </c>
      <c r="R325" s="914">
        <v>28.174968719482401</v>
      </c>
      <c r="S325" s="914">
        <v>29.129919052123999</v>
      </c>
      <c r="T325" s="914">
        <v>29.910713195800799</v>
      </c>
      <c r="U325" s="914">
        <v>30.004579544067401</v>
      </c>
      <c r="V325" s="914">
        <v>30.867444992065401</v>
      </c>
      <c r="W325" s="914">
        <v>31.741449356079102</v>
      </c>
      <c r="X325" s="914">
        <v>32.901214599609403</v>
      </c>
      <c r="Y325" s="914">
        <v>33.791465759277301</v>
      </c>
      <c r="Z325" s="914">
        <v>34.9404487609863</v>
      </c>
      <c r="AA325" s="306"/>
      <c r="AB325" s="306"/>
      <c r="AC325" s="306"/>
      <c r="AD325" s="306"/>
    </row>
    <row r="326" spans="1:30" x14ac:dyDescent="0.25">
      <c r="A326" s="912" t="s">
        <v>613</v>
      </c>
      <c r="B326" s="914">
        <v>7.7454247474670401</v>
      </c>
      <c r="C326" s="914">
        <v>7.5152516365051296</v>
      </c>
      <c r="D326" s="914">
        <v>8.9947338104247994</v>
      </c>
      <c r="E326" s="914">
        <v>5.0039734840393102</v>
      </c>
      <c r="F326" s="914">
        <v>5.7063522338867196</v>
      </c>
      <c r="G326" s="914">
        <v>6.1171517372131303</v>
      </c>
      <c r="H326" s="914">
        <v>6.2487673759460396</v>
      </c>
      <c r="I326" s="914">
        <v>6.4428400993347203</v>
      </c>
      <c r="J326" s="914">
        <v>6.7520828247070304</v>
      </c>
      <c r="K326" s="914">
        <v>7.1508984565734899</v>
      </c>
      <c r="L326" s="914">
        <v>7.5258989334106401</v>
      </c>
      <c r="M326" s="914">
        <v>7.9240221977233896</v>
      </c>
      <c r="N326" s="914">
        <v>8.3488731384277308</v>
      </c>
      <c r="O326" s="914">
        <v>8.8619937896728498</v>
      </c>
      <c r="P326" s="914">
        <v>9.4837093353271502</v>
      </c>
      <c r="Q326" s="914">
        <v>9.9987487792968803</v>
      </c>
      <c r="R326" s="914">
        <v>10.352954864501999</v>
      </c>
      <c r="S326" s="914">
        <v>10.3336448669434</v>
      </c>
      <c r="T326" s="914">
        <v>10.549848556518601</v>
      </c>
      <c r="U326" s="914">
        <v>10.6489877700806</v>
      </c>
      <c r="V326" s="914">
        <v>11.076291084289601</v>
      </c>
      <c r="W326" s="914">
        <v>11.6912574768066</v>
      </c>
      <c r="X326" s="914">
        <v>12.4464559555054</v>
      </c>
      <c r="Y326" s="914">
        <v>13.0579080581665</v>
      </c>
      <c r="Z326" s="914">
        <v>13.758059501647899</v>
      </c>
      <c r="AA326" s="306"/>
      <c r="AB326" s="306"/>
      <c r="AC326" s="306"/>
      <c r="AD326" s="306"/>
    </row>
    <row r="327" spans="1:30" x14ac:dyDescent="0.25">
      <c r="A327" s="912" t="s">
        <v>614</v>
      </c>
      <c r="B327" s="914">
        <v>3.53999996185303</v>
      </c>
      <c r="C327" s="914">
        <v>3.6099998950958301</v>
      </c>
      <c r="D327" s="914">
        <v>4.1449666023254403</v>
      </c>
      <c r="E327" s="914">
        <v>4.1784791946411097</v>
      </c>
      <c r="F327" s="914">
        <v>4.1485314369201696</v>
      </c>
      <c r="G327" s="914">
        <v>4.3175525665283203</v>
      </c>
      <c r="H327" s="914">
        <v>4.44484186172485</v>
      </c>
      <c r="I327" s="914">
        <v>4.5821456909179696</v>
      </c>
      <c r="J327" s="914">
        <v>4.7206311225891104</v>
      </c>
      <c r="K327" s="914">
        <v>4.8563599586486799</v>
      </c>
      <c r="L327" s="914">
        <v>4.9913563728332502</v>
      </c>
      <c r="M327" s="914">
        <v>5.1233406066894496</v>
      </c>
      <c r="N327" s="914">
        <v>5.2680139541626003</v>
      </c>
      <c r="O327" s="914">
        <v>5.4137320518493697</v>
      </c>
      <c r="P327" s="914">
        <v>5.5743689537048304</v>
      </c>
      <c r="Q327" s="914">
        <v>5.7906579971313503</v>
      </c>
      <c r="R327" s="914">
        <v>6.0209679603576696</v>
      </c>
      <c r="S327" s="914">
        <v>6.20045709609985</v>
      </c>
      <c r="T327" s="914">
        <v>6.3775997161865199</v>
      </c>
      <c r="U327" s="914">
        <v>6.5161404609680202</v>
      </c>
      <c r="V327" s="914">
        <v>6.6299972534179696</v>
      </c>
      <c r="W327" s="914">
        <v>6.7667918205261204</v>
      </c>
      <c r="X327" s="914">
        <v>6.88553714752197</v>
      </c>
      <c r="Y327" s="914">
        <v>6.9704546928405797</v>
      </c>
      <c r="Z327" s="914">
        <v>7.0137753486633301</v>
      </c>
    </row>
    <row r="328" spans="1:30" x14ac:dyDescent="0.25">
      <c r="A328" s="912" t="s">
        <v>615</v>
      </c>
      <c r="B328" s="914">
        <v>2.3399634361267099</v>
      </c>
      <c r="C328" s="914">
        <v>2.4299483299255402</v>
      </c>
      <c r="D328" s="914">
        <v>2.5979068279266402</v>
      </c>
      <c r="E328" s="914">
        <v>2.52754878997803</v>
      </c>
      <c r="F328" s="914">
        <v>2.4808654785156299</v>
      </c>
      <c r="G328" s="914">
        <v>2.6002757549285902</v>
      </c>
      <c r="H328" s="914">
        <v>2.6509947776794398</v>
      </c>
      <c r="I328" s="914">
        <v>2.73208808898926</v>
      </c>
      <c r="J328" s="914">
        <v>2.8122007846832302</v>
      </c>
      <c r="K328" s="914">
        <v>2.8687095642089799</v>
      </c>
      <c r="L328" s="914">
        <v>2.94158983230591</v>
      </c>
      <c r="M328" s="914">
        <v>3.0178208351135298</v>
      </c>
      <c r="N328" s="914">
        <v>3.1028199195861799</v>
      </c>
      <c r="O328" s="914">
        <v>3.17316722869873</v>
      </c>
      <c r="P328" s="914">
        <v>3.2616541385650599</v>
      </c>
      <c r="Q328" s="914">
        <v>3.3479356765747101</v>
      </c>
      <c r="R328" s="914">
        <v>3.4371068477630602</v>
      </c>
      <c r="S328" s="914">
        <v>3.5193088054657</v>
      </c>
      <c r="T328" s="914">
        <v>3.6053638458252002</v>
      </c>
      <c r="U328" s="914">
        <v>3.6816923618316699</v>
      </c>
      <c r="V328" s="914">
        <v>3.7800858020782502</v>
      </c>
      <c r="W328" s="914">
        <v>3.88063645362854</v>
      </c>
      <c r="X328" s="914">
        <v>3.98858737945557</v>
      </c>
      <c r="Y328" s="914">
        <v>4.1003923416137704</v>
      </c>
      <c r="Z328" s="914">
        <v>4.2166938781738299</v>
      </c>
    </row>
    <row r="329" spans="1:30" x14ac:dyDescent="0.25">
      <c r="A329" s="912" t="s">
        <v>616</v>
      </c>
      <c r="B329" s="914">
        <v>0</v>
      </c>
      <c r="C329" s="914">
        <v>0</v>
      </c>
      <c r="D329" s="914">
        <v>0</v>
      </c>
      <c r="E329" s="914">
        <v>0</v>
      </c>
      <c r="F329" s="914">
        <v>0</v>
      </c>
      <c r="G329" s="914">
        <v>1.5889266729354901</v>
      </c>
      <c r="H329" s="914">
        <v>1.46094393730164</v>
      </c>
      <c r="I329" s="914">
        <v>1.28843116760254</v>
      </c>
      <c r="J329" s="914">
        <v>1.5101318359375</v>
      </c>
      <c r="K329" s="914">
        <v>1.50810551643372</v>
      </c>
      <c r="L329" s="914">
        <v>1.5213859081268299</v>
      </c>
      <c r="M329" s="914">
        <v>1.53951179981232</v>
      </c>
      <c r="N329" s="914">
        <v>1.58338570594788</v>
      </c>
      <c r="O329" s="914">
        <v>1.63723039627075</v>
      </c>
      <c r="P329" s="914">
        <v>1.71289122104645</v>
      </c>
      <c r="Q329" s="914">
        <v>1.76114201545715</v>
      </c>
      <c r="R329" s="914">
        <v>1.8119050264358501</v>
      </c>
      <c r="S329" s="914">
        <v>1.8629466295242301</v>
      </c>
      <c r="T329" s="914">
        <v>1.9169825315475499</v>
      </c>
      <c r="U329" s="914">
        <v>1.9466364383697501</v>
      </c>
      <c r="V329" s="914">
        <v>1.9911848306655899</v>
      </c>
      <c r="W329" s="914">
        <v>2.0416746139526398</v>
      </c>
      <c r="X329" s="914">
        <v>2.09020328521729</v>
      </c>
      <c r="Y329" s="914">
        <v>2.1373581886291499</v>
      </c>
      <c r="Z329" s="914">
        <v>2.1847438812255899</v>
      </c>
    </row>
    <row r="330" spans="1:30" x14ac:dyDescent="0.25">
      <c r="A330" s="912" t="s">
        <v>479</v>
      </c>
      <c r="B330" s="914">
        <v>17.918214797973601</v>
      </c>
      <c r="C330" s="914">
        <v>18.6226921081543</v>
      </c>
      <c r="D330" s="914">
        <v>20.7813816070557</v>
      </c>
      <c r="E330" s="914">
        <v>19.773582458496101</v>
      </c>
      <c r="F330" s="914">
        <v>17.462970733642599</v>
      </c>
      <c r="G330" s="914">
        <v>18.126573562622099</v>
      </c>
      <c r="H330" s="914">
        <v>18.238889694213899</v>
      </c>
      <c r="I330" s="914">
        <v>18.4867153167725</v>
      </c>
      <c r="J330" s="914">
        <v>19.006654739379901</v>
      </c>
      <c r="K330" s="914">
        <v>19.565620422363299</v>
      </c>
      <c r="L330" s="914">
        <v>20.355871200561499</v>
      </c>
      <c r="M330" s="914">
        <v>21.173530578613299</v>
      </c>
      <c r="N330" s="914">
        <v>22.037576675415</v>
      </c>
      <c r="O330" s="914">
        <v>22.867145538330099</v>
      </c>
      <c r="P330" s="914">
        <v>23.876249313354499</v>
      </c>
      <c r="Q330" s="914">
        <v>24.851699829101602</v>
      </c>
      <c r="R330" s="914">
        <v>25.777753829956101</v>
      </c>
      <c r="S330" s="914">
        <v>26.392097473144499</v>
      </c>
      <c r="T330" s="914">
        <v>27.017583847045898</v>
      </c>
      <c r="U330" s="914">
        <v>27.588447570800799</v>
      </c>
      <c r="V330" s="914">
        <v>28.206142425537099</v>
      </c>
      <c r="W330" s="914">
        <v>29.1773777008057</v>
      </c>
      <c r="X330" s="914">
        <v>30.336851119995099</v>
      </c>
      <c r="Y330" s="914">
        <v>31.4674072265625</v>
      </c>
      <c r="Z330" s="914">
        <v>32.538986206054702</v>
      </c>
    </row>
    <row r="332" spans="1:30" x14ac:dyDescent="0.25">
      <c r="A332" s="912" t="s">
        <v>487</v>
      </c>
    </row>
    <row r="333" spans="1:30" x14ac:dyDescent="0.25">
      <c r="A333" s="912" t="s">
        <v>617</v>
      </c>
      <c r="B333" s="914">
        <v>21.711509704589801</v>
      </c>
      <c r="C333" s="914">
        <v>25.0072345733643</v>
      </c>
      <c r="D333" s="914">
        <v>29.391622543335</v>
      </c>
      <c r="E333" s="914">
        <v>22.380046844482401</v>
      </c>
      <c r="F333" s="914">
        <v>21.3089294433594</v>
      </c>
      <c r="G333" s="914">
        <v>23.935417175293001</v>
      </c>
      <c r="H333" s="914">
        <v>26.369024276733398</v>
      </c>
      <c r="I333" s="914">
        <v>28.752412796020501</v>
      </c>
      <c r="J333" s="914">
        <v>31.0282287597656</v>
      </c>
      <c r="K333" s="914">
        <v>33.547065734863303</v>
      </c>
      <c r="L333" s="914">
        <v>35.514869689941399</v>
      </c>
      <c r="M333" s="914">
        <v>37.352748870849602</v>
      </c>
      <c r="N333" s="914">
        <v>39.287044525146499</v>
      </c>
      <c r="O333" s="914">
        <v>40.7039604187012</v>
      </c>
      <c r="P333" s="914">
        <v>42.024444580078097</v>
      </c>
      <c r="Q333" s="914">
        <v>43.379894256591797</v>
      </c>
      <c r="R333" s="914">
        <v>44.630382537841797</v>
      </c>
      <c r="S333" s="914">
        <v>46.145259857177699</v>
      </c>
      <c r="T333" s="914">
        <v>47.363857269287102</v>
      </c>
      <c r="U333" s="914">
        <v>47.7197074890137</v>
      </c>
      <c r="V333" s="914">
        <v>49.102500915527301</v>
      </c>
      <c r="W333" s="914">
        <v>50.517303466796903</v>
      </c>
      <c r="X333" s="914">
        <v>52.086456298828097</v>
      </c>
      <c r="Y333" s="914">
        <v>53.442653656005902</v>
      </c>
      <c r="Z333" s="914">
        <v>55.104091644287102</v>
      </c>
    </row>
    <row r="334" spans="1:30" x14ac:dyDescent="0.25">
      <c r="A334" s="912" t="s">
        <v>618</v>
      </c>
      <c r="B334" s="914">
        <v>24.84494972229</v>
      </c>
      <c r="C334" s="914">
        <v>26.818180084228501</v>
      </c>
      <c r="D334" s="914">
        <v>34.822681427002003</v>
      </c>
      <c r="E334" s="914">
        <v>21.049989700317401</v>
      </c>
      <c r="F334" s="914">
        <v>19.580844879150401</v>
      </c>
      <c r="G334" s="914">
        <v>23.622909545898398</v>
      </c>
      <c r="H334" s="914">
        <v>25.881950378418001</v>
      </c>
      <c r="I334" s="914">
        <v>28.009447097778299</v>
      </c>
      <c r="J334" s="914">
        <v>30.2537937164307</v>
      </c>
      <c r="K334" s="914">
        <v>28.866632461547901</v>
      </c>
      <c r="L334" s="914">
        <v>30.4276523590088</v>
      </c>
      <c r="M334" s="914">
        <v>31.969417572021499</v>
      </c>
      <c r="N334" s="914">
        <v>32.765193939208999</v>
      </c>
      <c r="O334" s="914">
        <v>35.757926940917997</v>
      </c>
      <c r="P334" s="914">
        <v>37.577915191650398</v>
      </c>
      <c r="Q334" s="914">
        <v>38.662086486816399</v>
      </c>
      <c r="R334" s="914">
        <v>39.8419189453125</v>
      </c>
      <c r="S334" s="914">
        <v>41.092353820800803</v>
      </c>
      <c r="T334" s="914">
        <v>42.114028930664098</v>
      </c>
      <c r="U334" s="914">
        <v>42.893341064453097</v>
      </c>
      <c r="V334" s="914">
        <v>44.2104301452637</v>
      </c>
      <c r="W334" s="914">
        <v>44.896373748779297</v>
      </c>
      <c r="X334" s="914">
        <v>46.4299926757813</v>
      </c>
      <c r="Y334" s="914">
        <v>48.419319152832003</v>
      </c>
      <c r="Z334" s="914">
        <v>48.957271575927699</v>
      </c>
    </row>
    <row r="335" spans="1:30" x14ac:dyDescent="0.25">
      <c r="A335" s="912" t="s">
        <v>619</v>
      </c>
      <c r="B335" s="914">
        <v>21.213121414184599</v>
      </c>
      <c r="C335" s="914">
        <v>22.982162475585898</v>
      </c>
      <c r="D335" s="914">
        <v>26.749811172485401</v>
      </c>
      <c r="E335" s="914">
        <v>16.175968170166001</v>
      </c>
      <c r="F335" s="914">
        <v>18.381326675415</v>
      </c>
      <c r="G335" s="914">
        <v>21.693702697753899</v>
      </c>
      <c r="H335" s="914">
        <v>23.709007263183601</v>
      </c>
      <c r="I335" s="914">
        <v>25.449525833129901</v>
      </c>
      <c r="J335" s="914">
        <v>27.424634933471701</v>
      </c>
      <c r="K335" s="914">
        <v>29.529468536376999</v>
      </c>
      <c r="L335" s="914">
        <v>31.27219581604</v>
      </c>
      <c r="M335" s="914">
        <v>33.093906402587898</v>
      </c>
      <c r="N335" s="914">
        <v>34.856166839599602</v>
      </c>
      <c r="O335" s="914">
        <v>36.438858032226598</v>
      </c>
      <c r="P335" s="914">
        <v>38.015861511230497</v>
      </c>
      <c r="Q335" s="914">
        <v>39.139541625976598</v>
      </c>
      <c r="R335" s="914">
        <v>40.478176116943402</v>
      </c>
      <c r="S335" s="914">
        <v>41.691452026367202</v>
      </c>
      <c r="T335" s="914">
        <v>42.679801940917997</v>
      </c>
      <c r="U335" s="914">
        <v>43.464977264404297</v>
      </c>
      <c r="V335" s="914">
        <v>44.780059814453097</v>
      </c>
      <c r="W335" s="914">
        <v>45.673988342285199</v>
      </c>
      <c r="X335" s="914">
        <v>47.254981994628899</v>
      </c>
      <c r="Y335" s="914">
        <v>49.557445526122997</v>
      </c>
      <c r="Z335" s="914">
        <v>49.9830131530762</v>
      </c>
    </row>
    <row r="336" spans="1:30" x14ac:dyDescent="0.25">
      <c r="A336" s="912" t="s">
        <v>620</v>
      </c>
      <c r="B336" s="914">
        <v>14.844763755798301</v>
      </c>
      <c r="C336" s="914">
        <v>16.0964660644531</v>
      </c>
      <c r="D336" s="914">
        <v>22.673322677612301</v>
      </c>
      <c r="E336" s="914">
        <v>10.878761291503899</v>
      </c>
      <c r="F336" s="914">
        <v>10.805939674377401</v>
      </c>
      <c r="G336" s="914">
        <v>13.641165733337401</v>
      </c>
      <c r="H336" s="914">
        <v>15.7883806228638</v>
      </c>
      <c r="I336" s="914">
        <v>17.847295761108398</v>
      </c>
      <c r="J336" s="914">
        <v>19.768560409545898</v>
      </c>
      <c r="K336" s="914">
        <v>21.6021404266357</v>
      </c>
      <c r="L336" s="914">
        <v>23.1407794952393</v>
      </c>
      <c r="M336" s="914">
        <v>24.738756179809599</v>
      </c>
      <c r="N336" s="914">
        <v>26.200944900512699</v>
      </c>
      <c r="O336" s="914">
        <v>27.323936462402301</v>
      </c>
      <c r="P336" s="914">
        <v>28.3911018371582</v>
      </c>
      <c r="Q336" s="914">
        <v>29.343944549560501</v>
      </c>
      <c r="R336" s="914">
        <v>30.208518981933601</v>
      </c>
      <c r="S336" s="914">
        <v>31.274351119995099</v>
      </c>
      <c r="T336" s="914">
        <v>32.279064178466797</v>
      </c>
      <c r="U336" s="914">
        <v>32.661514282226598</v>
      </c>
      <c r="V336" s="914">
        <v>33.853298187255902</v>
      </c>
      <c r="W336" s="914">
        <v>34.868740081787102</v>
      </c>
      <c r="X336" s="914">
        <v>36.320652008056598</v>
      </c>
      <c r="Y336" s="914">
        <v>37.773586273193402</v>
      </c>
      <c r="Z336" s="914">
        <v>39.040420532226598</v>
      </c>
    </row>
    <row r="337" spans="1:70" x14ac:dyDescent="0.25">
      <c r="A337" s="912" t="s">
        <v>724</v>
      </c>
      <c r="B337" s="914">
        <v>19.740650177001999</v>
      </c>
      <c r="C337" s="914">
        <v>20.921422958373999</v>
      </c>
      <c r="D337" s="914">
        <v>27.660943984985401</v>
      </c>
      <c r="E337" s="914">
        <v>15.872093200683601</v>
      </c>
      <c r="F337" s="914">
        <v>15.1842641830444</v>
      </c>
      <c r="G337" s="914">
        <v>17.936090469360401</v>
      </c>
      <c r="H337" s="914">
        <v>20.100133895873999</v>
      </c>
      <c r="I337" s="914">
        <v>22.737785339355501</v>
      </c>
      <c r="J337" s="914">
        <v>24.745433807373001</v>
      </c>
      <c r="K337" s="914">
        <v>26.438911437988299</v>
      </c>
      <c r="L337" s="914">
        <v>28.0228977203369</v>
      </c>
      <c r="M337" s="914">
        <v>29.7338352203369</v>
      </c>
      <c r="N337" s="914">
        <v>31.2589511871338</v>
      </c>
      <c r="O337" s="914">
        <v>32.543869018554702</v>
      </c>
      <c r="P337" s="914">
        <v>33.764415740966797</v>
      </c>
      <c r="Q337" s="914">
        <v>34.490653991699197</v>
      </c>
      <c r="R337" s="914">
        <v>35.692588806152301</v>
      </c>
      <c r="S337" s="914">
        <v>36.884777069091797</v>
      </c>
      <c r="T337" s="914">
        <v>37.7488403320313</v>
      </c>
      <c r="U337" s="914">
        <v>38.541912078857401</v>
      </c>
      <c r="V337" s="914">
        <v>39.811958312988303</v>
      </c>
      <c r="W337" s="914">
        <v>40.433952331542997</v>
      </c>
      <c r="X337" s="914">
        <v>41.980552673339801</v>
      </c>
      <c r="Y337" s="914">
        <v>44.0175971984863</v>
      </c>
      <c r="Z337" s="914">
        <v>44.845256805419901</v>
      </c>
    </row>
    <row r="338" spans="1:70" x14ac:dyDescent="0.25">
      <c r="A338" s="912" t="s">
        <v>611</v>
      </c>
      <c r="B338" s="914">
        <v>7.9912142753601101</v>
      </c>
      <c r="C338" s="914">
        <v>9.4357099533081108</v>
      </c>
      <c r="D338" s="914">
        <v>14.5987691879272</v>
      </c>
      <c r="E338" s="914">
        <v>6.5974926948547399</v>
      </c>
      <c r="F338" s="914">
        <v>6.8336348533630398</v>
      </c>
      <c r="G338" s="914">
        <v>9.1002550125122106</v>
      </c>
      <c r="H338" s="914">
        <v>10.9850196838379</v>
      </c>
      <c r="I338" s="914">
        <v>12.7856092453003</v>
      </c>
      <c r="J338" s="914">
        <v>14.3925485610962</v>
      </c>
      <c r="K338" s="914">
        <v>16.284711837768601</v>
      </c>
      <c r="L338" s="914">
        <v>17.587419509887699</v>
      </c>
      <c r="M338" s="914">
        <v>18.815961837768601</v>
      </c>
      <c r="N338" s="914">
        <v>20.079933166503899</v>
      </c>
      <c r="O338" s="914">
        <v>21.0047607421875</v>
      </c>
      <c r="P338" s="914">
        <v>21.793167114257798</v>
      </c>
      <c r="Q338" s="914">
        <v>22.696048736572301</v>
      </c>
      <c r="R338" s="914">
        <v>23.3086338043213</v>
      </c>
      <c r="S338" s="914">
        <v>24.011238098144499</v>
      </c>
      <c r="T338" s="914">
        <v>24.648492813110401</v>
      </c>
      <c r="U338" s="914">
        <v>24.8559169769287</v>
      </c>
      <c r="V338" s="914">
        <v>25.6537380218506</v>
      </c>
      <c r="W338" s="914">
        <v>26.666080474853501</v>
      </c>
      <c r="X338" s="914">
        <v>27.731492996215799</v>
      </c>
      <c r="Y338" s="914">
        <v>28.609724044799801</v>
      </c>
      <c r="Z338" s="914">
        <v>29.807550430297901</v>
      </c>
    </row>
    <row r="339" spans="1:70" x14ac:dyDescent="0.25">
      <c r="A339" s="912" t="s">
        <v>622</v>
      </c>
      <c r="B339" s="914">
        <v>15.1338348388672</v>
      </c>
      <c r="C339" s="914">
        <v>15.4958410263062</v>
      </c>
      <c r="D339" s="914">
        <v>17.260919570922901</v>
      </c>
      <c r="E339" s="914">
        <v>13.197589874267599</v>
      </c>
      <c r="F339" s="914">
        <v>14.011960029602101</v>
      </c>
      <c r="G339" s="914">
        <v>14.5198259353638</v>
      </c>
      <c r="H339" s="914">
        <v>14.7125358581543</v>
      </c>
      <c r="I339" s="914">
        <v>14.9809007644653</v>
      </c>
      <c r="J339" s="914">
        <v>15.3987216949463</v>
      </c>
      <c r="K339" s="914">
        <v>15.929105758666999</v>
      </c>
      <c r="L339" s="914">
        <v>16.444049835205099</v>
      </c>
      <c r="M339" s="914">
        <v>16.986526489257798</v>
      </c>
      <c r="N339" s="914">
        <v>17.562019348144499</v>
      </c>
      <c r="O339" s="914">
        <v>18.214298248291001</v>
      </c>
      <c r="P339" s="914">
        <v>18.978889465331999</v>
      </c>
      <c r="Q339" s="914">
        <v>19.653842926025401</v>
      </c>
      <c r="R339" s="914">
        <v>20.151586532592798</v>
      </c>
      <c r="S339" s="914">
        <v>20.264110565185501</v>
      </c>
      <c r="T339" s="914">
        <v>20.6345119476318</v>
      </c>
      <c r="U339" s="914">
        <v>20.930568695068398</v>
      </c>
      <c r="V339" s="914">
        <v>21.5493049621582</v>
      </c>
      <c r="W339" s="914">
        <v>22.330928802490199</v>
      </c>
      <c r="X339" s="914">
        <v>23.217420578002901</v>
      </c>
      <c r="Y339" s="914">
        <v>23.984209060668899</v>
      </c>
      <c r="Z339" s="914">
        <v>24.842088699340799</v>
      </c>
    </row>
    <row r="340" spans="1:70" x14ac:dyDescent="0.25">
      <c r="A340" s="912" t="s">
        <v>479</v>
      </c>
      <c r="B340" s="914">
        <v>29.552911758422901</v>
      </c>
      <c r="C340" s="914">
        <v>30.777971267700199</v>
      </c>
      <c r="D340" s="914">
        <v>34.475650787353501</v>
      </c>
      <c r="E340" s="914">
        <v>32.511272430419901</v>
      </c>
      <c r="F340" s="914">
        <v>28.3578701019287</v>
      </c>
      <c r="G340" s="914">
        <v>29.9883632659912</v>
      </c>
      <c r="H340" s="914">
        <v>30.793474197387699</v>
      </c>
      <c r="I340" s="914">
        <v>31.290824890136701</v>
      </c>
      <c r="J340" s="914">
        <v>31.788017272949201</v>
      </c>
      <c r="K340" s="914">
        <v>32.228786468505902</v>
      </c>
      <c r="L340" s="914">
        <v>33.101249694824197</v>
      </c>
      <c r="M340" s="914">
        <v>33.873565673828097</v>
      </c>
      <c r="N340" s="914">
        <v>34.876777648925803</v>
      </c>
      <c r="O340" s="914">
        <v>35.790927886962898</v>
      </c>
      <c r="P340" s="914">
        <v>37.005527496337898</v>
      </c>
      <c r="Q340" s="914">
        <v>38.374465942382798</v>
      </c>
      <c r="R340" s="914">
        <v>39.741268157958999</v>
      </c>
      <c r="S340" s="914">
        <v>40.743644714355497</v>
      </c>
      <c r="T340" s="914">
        <v>41.832027435302699</v>
      </c>
      <c r="U340" s="914">
        <v>42.8788452148438</v>
      </c>
      <c r="V340" s="914">
        <v>44.165149688720703</v>
      </c>
      <c r="W340" s="914">
        <v>45.822151184082003</v>
      </c>
      <c r="X340" s="914">
        <v>47.770866394042997</v>
      </c>
      <c r="Y340" s="914">
        <v>49.4786567687988</v>
      </c>
      <c r="Z340" s="914">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912" t="s">
        <v>623</v>
      </c>
    </row>
    <row r="343" spans="1:70" x14ac:dyDescent="0.25">
      <c r="A343" s="912" t="s">
        <v>610</v>
      </c>
      <c r="B343" s="914">
        <v>13.411901473999</v>
      </c>
      <c r="C343" s="914">
        <v>14.7725219726563</v>
      </c>
      <c r="D343" s="914">
        <v>19.598173141479499</v>
      </c>
      <c r="E343" s="914">
        <v>12.9002075195313</v>
      </c>
      <c r="F343" s="914">
        <v>10.160784721374499</v>
      </c>
      <c r="G343" s="914">
        <v>12.683879852294901</v>
      </c>
      <c r="H343" s="914">
        <v>14.742367744445801</v>
      </c>
      <c r="I343" s="914">
        <v>16.466316223144499</v>
      </c>
      <c r="J343" s="914">
        <v>18.200975418090799</v>
      </c>
      <c r="K343" s="914">
        <v>20.294946670532202</v>
      </c>
      <c r="L343" s="914">
        <v>21.762416839599599</v>
      </c>
      <c r="M343" s="914">
        <v>23.219928741455099</v>
      </c>
      <c r="N343" s="914">
        <v>24.625257492065401</v>
      </c>
      <c r="O343" s="914">
        <v>25.658937454223601</v>
      </c>
      <c r="P343" s="914">
        <v>26.641567230224599</v>
      </c>
      <c r="Q343" s="914">
        <v>27.554689407348601</v>
      </c>
      <c r="R343" s="914">
        <v>28.433355331420898</v>
      </c>
      <c r="S343" s="914">
        <v>29.525194168090799</v>
      </c>
      <c r="T343" s="914">
        <v>30.595668792724599</v>
      </c>
      <c r="U343" s="914">
        <v>30.812200546264599</v>
      </c>
      <c r="V343" s="914">
        <v>31.8765468597412</v>
      </c>
      <c r="W343" s="914">
        <v>33.023826599121101</v>
      </c>
      <c r="X343" s="914">
        <v>34.249851226806598</v>
      </c>
      <c r="Y343" s="914">
        <v>35.370849609375</v>
      </c>
      <c r="Z343" s="914">
        <v>36.733474731445298</v>
      </c>
    </row>
    <row r="344" spans="1:70" x14ac:dyDescent="0.25">
      <c r="A344" s="912" t="s">
        <v>611</v>
      </c>
      <c r="B344" s="914">
        <v>8.1584053039550799</v>
      </c>
      <c r="C344" s="914">
        <v>8.5664386749267596</v>
      </c>
      <c r="D344" s="914">
        <v>14.623919486999499</v>
      </c>
      <c r="E344" s="914">
        <v>6.72200632095337</v>
      </c>
      <c r="F344" s="914">
        <v>6.9281921386718803</v>
      </c>
      <c r="G344" s="914">
        <v>9.7774429321289098</v>
      </c>
      <c r="H344" s="914">
        <v>11.688641548156699</v>
      </c>
      <c r="I344" s="914">
        <v>13.5591955184937</v>
      </c>
      <c r="J344" s="914">
        <v>15.198254585266101</v>
      </c>
      <c r="K344" s="914">
        <v>17.122402191162099</v>
      </c>
      <c r="L344" s="914">
        <v>18.4469089508057</v>
      </c>
      <c r="M344" s="914">
        <v>19.645553588867202</v>
      </c>
      <c r="N344" s="914">
        <v>20.905046463012699</v>
      </c>
      <c r="O344" s="914">
        <v>21.461814880371101</v>
      </c>
      <c r="P344" s="914">
        <v>22.275539398193398</v>
      </c>
      <c r="Q344" s="914">
        <v>23.178005218505898</v>
      </c>
      <c r="R344" s="914">
        <v>23.921798706054702</v>
      </c>
      <c r="S344" s="914">
        <v>24.712652206420898</v>
      </c>
      <c r="T344" s="914">
        <v>25.390251159668001</v>
      </c>
      <c r="U344" s="914">
        <v>25.605690002441399</v>
      </c>
      <c r="V344" s="914">
        <v>26.419223785400401</v>
      </c>
      <c r="W344" s="914">
        <v>27.371679306030298</v>
      </c>
      <c r="X344" s="914">
        <v>28.437421798706101</v>
      </c>
      <c r="Y344" s="914">
        <v>29.318086624145501</v>
      </c>
      <c r="Z344" s="914">
        <v>30.4597358703613</v>
      </c>
    </row>
    <row r="345" spans="1:70" x14ac:dyDescent="0.25">
      <c r="A345" s="912" t="s">
        <v>510</v>
      </c>
      <c r="B345" s="914">
        <v>6.8695855140686</v>
      </c>
      <c r="C345" s="914">
        <v>7.0191597938537598</v>
      </c>
      <c r="D345" s="914">
        <v>9.0666198730468803</v>
      </c>
      <c r="E345" s="914">
        <v>4.70163822174072</v>
      </c>
      <c r="F345" s="914">
        <v>5.3228030204772896</v>
      </c>
      <c r="G345" s="914">
        <v>5.7259230613708496</v>
      </c>
      <c r="H345" s="914">
        <v>5.8670849800109899</v>
      </c>
      <c r="I345" s="914">
        <v>5.9947657585143999</v>
      </c>
      <c r="J345" s="914">
        <v>6.2809138298034703</v>
      </c>
      <c r="K345" s="914">
        <v>6.6566915512084996</v>
      </c>
      <c r="L345" s="914">
        <v>7.0282440185546902</v>
      </c>
      <c r="M345" s="914">
        <v>7.4117355346679696</v>
      </c>
      <c r="N345" s="914">
        <v>7.8389544486999503</v>
      </c>
      <c r="O345" s="914">
        <v>8.3448457717895508</v>
      </c>
      <c r="P345" s="914">
        <v>8.9240303039550799</v>
      </c>
      <c r="Q345" s="914">
        <v>9.4456386566162092</v>
      </c>
      <c r="R345" s="914">
        <v>9.7849264144897496</v>
      </c>
      <c r="S345" s="914">
        <v>9.7760477066040004</v>
      </c>
      <c r="T345" s="914">
        <v>10.055270195007299</v>
      </c>
      <c r="U345" s="914">
        <v>10.193024635314901</v>
      </c>
      <c r="V345" s="914">
        <v>10.610521316528301</v>
      </c>
      <c r="W345" s="914">
        <v>11.20911693573</v>
      </c>
      <c r="X345" s="914">
        <v>11.9389839172363</v>
      </c>
      <c r="Y345" s="914">
        <v>12.519255638122599</v>
      </c>
      <c r="Z345" s="914">
        <v>13.197782516479499</v>
      </c>
    </row>
    <row r="346" spans="1:70" x14ac:dyDescent="0.25">
      <c r="A346" s="912" t="s">
        <v>624</v>
      </c>
      <c r="B346" s="914">
        <v>1.6900001764297501</v>
      </c>
      <c r="C346" s="914">
        <v>1.7800002098083501</v>
      </c>
      <c r="D346" s="914">
        <v>1.97352075576782</v>
      </c>
      <c r="E346" s="914">
        <v>2.0458421707153298</v>
      </c>
      <c r="F346" s="914">
        <v>1.9325078725814799</v>
      </c>
      <c r="G346" s="914">
        <v>1.9669165611267101</v>
      </c>
      <c r="H346" s="914">
        <v>1.97483730316162</v>
      </c>
      <c r="I346" s="914">
        <v>2.0363006591796902</v>
      </c>
      <c r="J346" s="914">
        <v>2.1044862270355198</v>
      </c>
      <c r="K346" s="914">
        <v>2.15470170974731</v>
      </c>
      <c r="L346" s="914">
        <v>2.2153303623199498</v>
      </c>
      <c r="M346" s="914">
        <v>2.2768745422363299</v>
      </c>
      <c r="N346" s="914">
        <v>2.3487181663513201</v>
      </c>
      <c r="O346" s="914">
        <v>2.4114518165588401</v>
      </c>
      <c r="P346" s="914">
        <v>2.4841165542602499</v>
      </c>
      <c r="Q346" s="914">
        <v>2.5551335811614999</v>
      </c>
      <c r="R346" s="914">
        <v>2.63751268386841</v>
      </c>
      <c r="S346" s="914">
        <v>2.7085535526275599</v>
      </c>
      <c r="T346" s="914">
        <v>2.7758009433746298</v>
      </c>
      <c r="U346" s="914">
        <v>2.84079241752625</v>
      </c>
      <c r="V346" s="914">
        <v>2.9094073772430402</v>
      </c>
      <c r="W346" s="914">
        <v>2.9860992431640598</v>
      </c>
      <c r="X346" s="914">
        <v>3.0685904026031499</v>
      </c>
      <c r="Y346" s="914">
        <v>3.1531631946563698</v>
      </c>
      <c r="Z346" s="914">
        <v>3.23557353019714</v>
      </c>
    </row>
    <row r="348" spans="1:70" x14ac:dyDescent="0.25">
      <c r="A348" s="912" t="s">
        <v>625</v>
      </c>
    </row>
    <row r="349" spans="1:70" x14ac:dyDescent="0.25">
      <c r="A349" s="912" t="s">
        <v>609</v>
      </c>
      <c r="B349" s="914">
        <v>15.246436119079601</v>
      </c>
      <c r="C349" s="914">
        <v>18.5313529968262</v>
      </c>
      <c r="D349" s="914">
        <v>20.134397506713899</v>
      </c>
      <c r="E349" s="914">
        <v>16.9350070953369</v>
      </c>
      <c r="F349" s="914">
        <v>16.912326812744102</v>
      </c>
      <c r="G349" s="914">
        <v>19.346534729003899</v>
      </c>
      <c r="H349" s="914">
        <v>21.4945392608643</v>
      </c>
      <c r="I349" s="914">
        <v>23.604782104492202</v>
      </c>
      <c r="J349" s="914">
        <v>25.696203231811499</v>
      </c>
      <c r="K349" s="914">
        <v>28.031579971313501</v>
      </c>
      <c r="L349" s="914">
        <v>29.828712463378899</v>
      </c>
      <c r="M349" s="914">
        <v>31.479301452636701</v>
      </c>
      <c r="N349" s="914">
        <v>33.231895446777301</v>
      </c>
      <c r="O349" s="914">
        <v>34.5145874023438</v>
      </c>
      <c r="P349" s="914">
        <v>35.698520660400398</v>
      </c>
      <c r="Q349" s="914">
        <v>36.883983612060497</v>
      </c>
      <c r="R349" s="914">
        <v>37.996242523193402</v>
      </c>
      <c r="S349" s="914">
        <v>39.337680816650398</v>
      </c>
      <c r="T349" s="914">
        <v>40.431327819824197</v>
      </c>
      <c r="U349" s="914">
        <v>40.7233276367188</v>
      </c>
      <c r="V349" s="914">
        <v>41.9925727844238</v>
      </c>
      <c r="W349" s="914">
        <v>43.322719573974602</v>
      </c>
      <c r="X349" s="914">
        <v>44.788909912109403</v>
      </c>
      <c r="Y349" s="914">
        <v>45.941520690917997</v>
      </c>
      <c r="Z349" s="914">
        <v>47.553462982177699</v>
      </c>
    </row>
    <row r="350" spans="1:70" x14ac:dyDescent="0.25">
      <c r="A350" s="912" t="s">
        <v>618</v>
      </c>
      <c r="B350" s="914">
        <v>24.84494972229</v>
      </c>
      <c r="C350" s="914">
        <v>26.818180084228501</v>
      </c>
      <c r="D350" s="914">
        <v>34.822681427002003</v>
      </c>
      <c r="E350" s="914">
        <v>21.049989700317401</v>
      </c>
      <c r="F350" s="914">
        <v>19.580844879150401</v>
      </c>
      <c r="G350" s="914">
        <v>23.622909545898398</v>
      </c>
      <c r="H350" s="914">
        <v>25.881950378418001</v>
      </c>
      <c r="I350" s="914">
        <v>28.009447097778299</v>
      </c>
      <c r="J350" s="914">
        <v>30.2537937164307</v>
      </c>
      <c r="K350" s="914">
        <v>28.866632461547901</v>
      </c>
      <c r="L350" s="914">
        <v>30.4276523590088</v>
      </c>
      <c r="M350" s="914">
        <v>31.969417572021499</v>
      </c>
      <c r="N350" s="914">
        <v>32.765193939208999</v>
      </c>
      <c r="O350" s="914">
        <v>35.757926940917997</v>
      </c>
      <c r="P350" s="914">
        <v>37.577915191650398</v>
      </c>
      <c r="Q350" s="914">
        <v>38.662086486816399</v>
      </c>
      <c r="R350" s="914">
        <v>39.8419189453125</v>
      </c>
      <c r="S350" s="914">
        <v>41.092353820800803</v>
      </c>
      <c r="T350" s="914">
        <v>42.114028930664098</v>
      </c>
      <c r="U350" s="914">
        <v>42.893341064453097</v>
      </c>
      <c r="V350" s="914">
        <v>44.2104301452637</v>
      </c>
      <c r="W350" s="914">
        <v>44.896373748779297</v>
      </c>
      <c r="X350" s="914">
        <v>46.4299926757813</v>
      </c>
      <c r="Y350" s="914">
        <v>48.419319152832003</v>
      </c>
      <c r="Z350" s="914">
        <v>48.957271575927699</v>
      </c>
    </row>
    <row r="351" spans="1:70" x14ac:dyDescent="0.25">
      <c r="A351" s="912" t="s">
        <v>619</v>
      </c>
      <c r="B351" s="914">
        <v>21.081119537353501</v>
      </c>
      <c r="C351" s="914">
        <v>22.8191947937012</v>
      </c>
      <c r="D351" s="914">
        <v>26.582485198974599</v>
      </c>
      <c r="E351" s="914">
        <v>16.308473587036101</v>
      </c>
      <c r="F351" s="914">
        <v>18.3791694641113</v>
      </c>
      <c r="G351" s="914">
        <v>21.690732955932599</v>
      </c>
      <c r="H351" s="914">
        <v>23.705785751342798</v>
      </c>
      <c r="I351" s="914">
        <v>25.446578979492202</v>
      </c>
      <c r="J351" s="914">
        <v>27.421388626098601</v>
      </c>
      <c r="K351" s="914">
        <v>29.526109695434599</v>
      </c>
      <c r="L351" s="914">
        <v>31.268815994262699</v>
      </c>
      <c r="M351" s="914">
        <v>33.090030670166001</v>
      </c>
      <c r="N351" s="914">
        <v>34.852634429931598</v>
      </c>
      <c r="O351" s="914">
        <v>36.4355278015137</v>
      </c>
      <c r="P351" s="914">
        <v>38.011890411377003</v>
      </c>
      <c r="Q351" s="914">
        <v>39.135532379150398</v>
      </c>
      <c r="R351" s="914">
        <v>40.475978851318402</v>
      </c>
      <c r="S351" s="914">
        <v>41.687484741210902</v>
      </c>
      <c r="T351" s="914">
        <v>42.675270080566399</v>
      </c>
      <c r="U351" s="914">
        <v>43.460239410400398</v>
      </c>
      <c r="V351" s="914">
        <v>44.775581359863303</v>
      </c>
      <c r="W351" s="914">
        <v>45.668975830078097</v>
      </c>
      <c r="X351" s="914">
        <v>47.250167846679702</v>
      </c>
      <c r="Y351" s="914">
        <v>49.551605224609403</v>
      </c>
      <c r="Z351" s="914">
        <v>49.978668212890597</v>
      </c>
    </row>
    <row r="352" spans="1:70" x14ac:dyDescent="0.25">
      <c r="A352" s="912" t="s">
        <v>626</v>
      </c>
      <c r="B352" s="914">
        <v>14.844763755798301</v>
      </c>
      <c r="C352" s="914">
        <v>16.0964660644531</v>
      </c>
      <c r="D352" s="914">
        <v>22.673322677612301</v>
      </c>
      <c r="E352" s="914">
        <v>10.878761291503899</v>
      </c>
      <c r="F352" s="914">
        <v>10.805939674377401</v>
      </c>
      <c r="G352" s="914">
        <v>13.641165733337401</v>
      </c>
      <c r="H352" s="914">
        <v>15.7883806228638</v>
      </c>
      <c r="I352" s="914">
        <v>17.847295761108398</v>
      </c>
      <c r="J352" s="914">
        <v>19.768560409545898</v>
      </c>
      <c r="K352" s="914">
        <v>21.6021404266357</v>
      </c>
      <c r="L352" s="914">
        <v>23.1407794952393</v>
      </c>
      <c r="M352" s="914">
        <v>24.738756179809599</v>
      </c>
      <c r="N352" s="914">
        <v>26.200944900512699</v>
      </c>
      <c r="O352" s="914">
        <v>27.323936462402301</v>
      </c>
      <c r="P352" s="914">
        <v>28.3911018371582</v>
      </c>
      <c r="Q352" s="914">
        <v>29.343944549560501</v>
      </c>
      <c r="R352" s="914">
        <v>30.208518981933601</v>
      </c>
      <c r="S352" s="914">
        <v>31.274351119995099</v>
      </c>
      <c r="T352" s="914">
        <v>32.279064178466797</v>
      </c>
      <c r="U352" s="914">
        <v>32.661514282226598</v>
      </c>
      <c r="V352" s="914">
        <v>33.853298187255902</v>
      </c>
      <c r="W352" s="914">
        <v>34.868740081787102</v>
      </c>
      <c r="X352" s="914">
        <v>36.320652008056598</v>
      </c>
      <c r="Y352" s="914">
        <v>37.773586273193402</v>
      </c>
      <c r="Z352" s="914">
        <v>39.040420532226598</v>
      </c>
    </row>
    <row r="353" spans="1:70" x14ac:dyDescent="0.25">
      <c r="A353" s="912" t="s">
        <v>610</v>
      </c>
      <c r="B353" s="914">
        <v>18.668458938598601</v>
      </c>
      <c r="C353" s="914">
        <v>19.9431552886963</v>
      </c>
      <c r="D353" s="914">
        <v>26.286823272705099</v>
      </c>
      <c r="E353" s="914">
        <v>15.636975288391101</v>
      </c>
      <c r="F353" s="914">
        <v>14.1092176437378</v>
      </c>
      <c r="G353" s="914">
        <v>16.902593612670898</v>
      </c>
      <c r="H353" s="914">
        <v>19.1516017913818</v>
      </c>
      <c r="I353" s="914">
        <v>21.744958877563501</v>
      </c>
      <c r="J353" s="914">
        <v>23.745824813842798</v>
      </c>
      <c r="K353" s="914">
        <v>25.478622436523398</v>
      </c>
      <c r="L353" s="914">
        <v>27.0623779296875</v>
      </c>
      <c r="M353" s="914">
        <v>28.722316741943398</v>
      </c>
      <c r="N353" s="914">
        <v>30.288469314575199</v>
      </c>
      <c r="O353" s="914">
        <v>31.560461044311499</v>
      </c>
      <c r="P353" s="914">
        <v>32.757129669189503</v>
      </c>
      <c r="Q353" s="914">
        <v>33.523193359375</v>
      </c>
      <c r="R353" s="914">
        <v>34.769081115722699</v>
      </c>
      <c r="S353" s="914">
        <v>35.882114410400398</v>
      </c>
      <c r="T353" s="914">
        <v>36.791599273681598</v>
      </c>
      <c r="U353" s="914">
        <v>37.5217895507813</v>
      </c>
      <c r="V353" s="914">
        <v>38.800697326660199</v>
      </c>
      <c r="W353" s="914">
        <v>39.467311859130902</v>
      </c>
      <c r="X353" s="914">
        <v>40.997920989990199</v>
      </c>
      <c r="Y353" s="914">
        <v>42.937191009521499</v>
      </c>
      <c r="Z353" s="914">
        <v>43.857540130615199</v>
      </c>
    </row>
    <row r="354" spans="1:70" x14ac:dyDescent="0.25">
      <c r="A354" s="912" t="s">
        <v>611</v>
      </c>
      <c r="B354" s="914">
        <v>8.2036781311035192</v>
      </c>
      <c r="C354" s="914">
        <v>9.3672227859497106</v>
      </c>
      <c r="D354" s="914">
        <v>14.4897508621216</v>
      </c>
      <c r="E354" s="914">
        <v>6.7128052711486799</v>
      </c>
      <c r="F354" s="914">
        <v>7.1757683753967303</v>
      </c>
      <c r="G354" s="914">
        <v>9.6609458923339808</v>
      </c>
      <c r="H354" s="914">
        <v>11.544206619262701</v>
      </c>
      <c r="I354" s="914">
        <v>13.370221138000501</v>
      </c>
      <c r="J354" s="914">
        <v>14.996021270751999</v>
      </c>
      <c r="K354" s="914">
        <v>16.898206710815401</v>
      </c>
      <c r="L354" s="914">
        <v>18.207862854003899</v>
      </c>
      <c r="M354" s="914">
        <v>19.411674499511701</v>
      </c>
      <c r="N354" s="914">
        <v>20.6822299957275</v>
      </c>
      <c r="O354" s="914">
        <v>21.516969680786101</v>
      </c>
      <c r="P354" s="914">
        <v>22.335527420043899</v>
      </c>
      <c r="Q354" s="914">
        <v>23.2407321929932</v>
      </c>
      <c r="R354" s="914">
        <v>23.916133880615199</v>
      </c>
      <c r="S354" s="914">
        <v>24.6660556793213</v>
      </c>
      <c r="T354" s="914">
        <v>25.322589874267599</v>
      </c>
      <c r="U354" s="914">
        <v>25.500698089599599</v>
      </c>
      <c r="V354" s="914">
        <v>26.3019409179688</v>
      </c>
      <c r="W354" s="914">
        <v>27.270561218261701</v>
      </c>
      <c r="X354" s="914">
        <v>28.332614898681602</v>
      </c>
      <c r="Y354" s="914">
        <v>29.2080383300781</v>
      </c>
      <c r="Z354" s="914">
        <v>30.365930557251001</v>
      </c>
    </row>
    <row r="355" spans="1:70" x14ac:dyDescent="0.25">
      <c r="A355" s="912" t="s">
        <v>510</v>
      </c>
      <c r="B355" s="914">
        <v>9.2523355484008807</v>
      </c>
      <c r="C355" s="914">
        <v>9.0060253143310494</v>
      </c>
      <c r="D355" s="914">
        <v>10.405486106872599</v>
      </c>
      <c r="E355" s="914">
        <v>6.98002004623413</v>
      </c>
      <c r="F355" s="914">
        <v>7.7092094421386701</v>
      </c>
      <c r="G355" s="914">
        <v>8.12390232086182</v>
      </c>
      <c r="H355" s="914">
        <v>8.2825136184692401</v>
      </c>
      <c r="I355" s="914">
        <v>8.4401350021362305</v>
      </c>
      <c r="J355" s="914">
        <v>8.7418422698974592</v>
      </c>
      <c r="K355" s="914">
        <v>9.1197204589843803</v>
      </c>
      <c r="L355" s="914">
        <v>9.5538625717163104</v>
      </c>
      <c r="M355" s="914">
        <v>10.0050344467163</v>
      </c>
      <c r="N355" s="914">
        <v>10.4820852279663</v>
      </c>
      <c r="O355" s="914">
        <v>11.0441122055054</v>
      </c>
      <c r="P355" s="914">
        <v>11.7092485427856</v>
      </c>
      <c r="Q355" s="914">
        <v>12.280260086059601</v>
      </c>
      <c r="R355" s="914">
        <v>12.668963432311999</v>
      </c>
      <c r="S355" s="914">
        <v>12.670117378234901</v>
      </c>
      <c r="T355" s="914">
        <v>12.917200088501</v>
      </c>
      <c r="U355" s="914">
        <v>13.0803108215332</v>
      </c>
      <c r="V355" s="914">
        <v>13.574273109436</v>
      </c>
      <c r="W355" s="914">
        <v>14.23717212677</v>
      </c>
      <c r="X355" s="914">
        <v>15.0462560653687</v>
      </c>
      <c r="Y355" s="914">
        <v>15.740474700927701</v>
      </c>
      <c r="Z355" s="914">
        <v>16.4913539886475</v>
      </c>
    </row>
    <row r="356" spans="1:70" ht="13" thickBot="1" x14ac:dyDescent="0.3">
      <c r="A356" s="912" t="s">
        <v>614</v>
      </c>
      <c r="B356" s="914">
        <v>3.53999996185303</v>
      </c>
      <c r="C356" s="914">
        <v>3.6099998950958301</v>
      </c>
      <c r="D356" s="914">
        <v>4.1449666023254403</v>
      </c>
      <c r="E356" s="914">
        <v>4.1784791946411097</v>
      </c>
      <c r="F356" s="914">
        <v>4.1485314369201696</v>
      </c>
      <c r="G356" s="914">
        <v>4.3175525665283203</v>
      </c>
      <c r="H356" s="914">
        <v>4.44484186172485</v>
      </c>
      <c r="I356" s="914">
        <v>4.5821456909179696</v>
      </c>
      <c r="J356" s="914">
        <v>4.7206311225891104</v>
      </c>
      <c r="K356" s="914">
        <v>4.8563599586486799</v>
      </c>
      <c r="L356" s="914">
        <v>4.9913563728332502</v>
      </c>
      <c r="M356" s="914">
        <v>5.1233406066894496</v>
      </c>
      <c r="N356" s="914">
        <v>5.2680139541626003</v>
      </c>
      <c r="O356" s="914">
        <v>5.4137320518493697</v>
      </c>
      <c r="P356" s="914">
        <v>5.5743689537048304</v>
      </c>
      <c r="Q356" s="914">
        <v>5.7906579971313503</v>
      </c>
      <c r="R356" s="914">
        <v>6.0209679603576696</v>
      </c>
      <c r="S356" s="914">
        <v>6.20045709609985</v>
      </c>
      <c r="T356" s="914">
        <v>6.3775997161865199</v>
      </c>
      <c r="U356" s="914">
        <v>6.5161404609680202</v>
      </c>
      <c r="V356" s="914">
        <v>6.6299972534179696</v>
      </c>
      <c r="W356" s="914">
        <v>6.7667918205261204</v>
      </c>
      <c r="X356" s="914">
        <v>6.88553714752197</v>
      </c>
      <c r="Y356" s="914">
        <v>6.9704546928405797</v>
      </c>
      <c r="Z356" s="914">
        <v>7.0137753486633301</v>
      </c>
    </row>
    <row r="357" spans="1:70" ht="13" thickBot="1" x14ac:dyDescent="0.3">
      <c r="A357" s="912" t="s">
        <v>627</v>
      </c>
      <c r="B357" s="914">
        <v>1.73100674152374</v>
      </c>
      <c r="C357" s="914">
        <v>1.81885313987732</v>
      </c>
      <c r="D357" s="914">
        <v>2.01088166236877</v>
      </c>
      <c r="E357" s="914">
        <v>2.0711190700531001</v>
      </c>
      <c r="F357" s="914">
        <v>1.96068322658539</v>
      </c>
      <c r="G357" s="914">
        <v>1.99932932853699</v>
      </c>
      <c r="H357" s="914">
        <v>2.0096416473388699</v>
      </c>
      <c r="I357" s="914">
        <v>2.07272601127625</v>
      </c>
      <c r="J357" s="914">
        <v>2.1420636177063002</v>
      </c>
      <c r="K357" s="914">
        <v>2.1925818920135498</v>
      </c>
      <c r="L357" s="914">
        <v>2.2534883022308301</v>
      </c>
      <c r="M357" s="914">
        <v>2.3155770301818799</v>
      </c>
      <c r="N357" s="914">
        <v>2.38794946670532</v>
      </c>
      <c r="O357" s="914">
        <v>2.4510562419891402</v>
      </c>
      <c r="P357" s="914">
        <v>2.52451372146606</v>
      </c>
      <c r="Q357" s="914">
        <v>2.5963439941406299</v>
      </c>
      <c r="R357" s="914">
        <v>2.6790707111358598</v>
      </c>
      <c r="S357" s="914">
        <v>2.7507226467132599</v>
      </c>
      <c r="T357" s="914">
        <v>2.8189043998718302</v>
      </c>
      <c r="U357" s="914">
        <v>2.8845274448394802</v>
      </c>
      <c r="V357" s="914">
        <v>2.9543473720550502</v>
      </c>
      <c r="W357" s="914">
        <v>3.0319309234619101</v>
      </c>
      <c r="X357" s="914">
        <v>3.1151678562164302</v>
      </c>
      <c r="Y357" s="914">
        <v>3.20047926902771</v>
      </c>
      <c r="Z357" s="914">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 thickBot="1" x14ac:dyDescent="0.3">
      <c r="A358" s="912" t="s">
        <v>616</v>
      </c>
      <c r="B358" s="914">
        <v>0</v>
      </c>
      <c r="C358" s="914">
        <v>0</v>
      </c>
      <c r="D358" s="914">
        <v>0</v>
      </c>
      <c r="E358" s="914">
        <v>0</v>
      </c>
      <c r="F358" s="914">
        <v>0</v>
      </c>
      <c r="G358" s="914">
        <v>1.5889266729354901</v>
      </c>
      <c r="H358" s="914">
        <v>1.46094393730164</v>
      </c>
      <c r="I358" s="914">
        <v>1.28843116760254</v>
      </c>
      <c r="J358" s="914">
        <v>1.5101318359375</v>
      </c>
      <c r="K358" s="914">
        <v>1.50810551643372</v>
      </c>
      <c r="L358" s="914">
        <v>1.5213859081268299</v>
      </c>
      <c r="M358" s="914">
        <v>1.53951179981232</v>
      </c>
      <c r="N358" s="914">
        <v>1.58338570594788</v>
      </c>
      <c r="O358" s="914">
        <v>1.63723039627075</v>
      </c>
      <c r="P358" s="914">
        <v>1.71289122104645</v>
      </c>
      <c r="Q358" s="914">
        <v>1.76114201545715</v>
      </c>
      <c r="R358" s="914">
        <v>1.8119050264358501</v>
      </c>
      <c r="S358" s="914">
        <v>1.8629466295242301</v>
      </c>
      <c r="T358" s="914">
        <v>1.9169825315475499</v>
      </c>
      <c r="U358" s="914">
        <v>1.9466364383697501</v>
      </c>
      <c r="V358" s="914">
        <v>1.9911848306655899</v>
      </c>
      <c r="W358" s="914">
        <v>2.0416746139526398</v>
      </c>
      <c r="X358" s="914">
        <v>2.09020328521729</v>
      </c>
      <c r="Y358" s="914">
        <v>2.1373581886291499</v>
      </c>
      <c r="Z358" s="914">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5">
      <c r="A359" s="912" t="s">
        <v>479</v>
      </c>
      <c r="B359" s="914">
        <v>25.973251342773398</v>
      </c>
      <c r="C359" s="914">
        <v>26.680915832519499</v>
      </c>
      <c r="D359" s="914">
        <v>28.4103908538818</v>
      </c>
      <c r="E359" s="914">
        <v>27.544679641723601</v>
      </c>
      <c r="F359" s="914">
        <v>25.191349029541001</v>
      </c>
      <c r="G359" s="914">
        <v>26.348068237304702</v>
      </c>
      <c r="H359" s="914">
        <v>26.6303806304932</v>
      </c>
      <c r="I359" s="914">
        <v>27.154542922973601</v>
      </c>
      <c r="J359" s="914">
        <v>28.002742767333999</v>
      </c>
      <c r="K359" s="914">
        <v>28.757371902465799</v>
      </c>
      <c r="L359" s="914">
        <v>29.780685424804702</v>
      </c>
      <c r="M359" s="914">
        <v>30.870384216308601</v>
      </c>
      <c r="N359" s="914">
        <v>32.039138793945298</v>
      </c>
      <c r="O359" s="914">
        <v>33.131908416747997</v>
      </c>
      <c r="P359" s="914">
        <v>34.493354797363303</v>
      </c>
      <c r="Q359" s="914">
        <v>35.847507476806598</v>
      </c>
      <c r="R359" s="914">
        <v>37.095943450927699</v>
      </c>
      <c r="S359" s="914">
        <v>37.945499420166001</v>
      </c>
      <c r="T359" s="914">
        <v>38.854724884033203</v>
      </c>
      <c r="U359" s="914">
        <v>39.667263031005902</v>
      </c>
      <c r="V359" s="914">
        <v>40.613765716552699</v>
      </c>
      <c r="W359" s="914">
        <v>41.989593505859403</v>
      </c>
      <c r="X359" s="914">
        <v>43.556324005127003</v>
      </c>
      <c r="Y359" s="914">
        <v>45.098350524902301</v>
      </c>
      <c r="Z359" s="914">
        <v>46.616588592529297</v>
      </c>
    </row>
    <row r="361" spans="1:70" x14ac:dyDescent="0.25">
      <c r="A361" s="912" t="s">
        <v>513</v>
      </c>
    </row>
    <row r="362" spans="1:70" x14ac:dyDescent="0.25">
      <c r="A362" s="912" t="s">
        <v>727</v>
      </c>
    </row>
    <row r="363" spans="1:70" x14ac:dyDescent="0.25">
      <c r="A363" s="912" t="s">
        <v>473</v>
      </c>
      <c r="B363" s="914">
        <v>225.03859096661196</v>
      </c>
      <c r="C363" s="914">
        <v>238.40081787109398</v>
      </c>
      <c r="D363" s="914">
        <v>255.49913625772319</v>
      </c>
      <c r="E363" s="914">
        <v>230.9929746666815</v>
      </c>
      <c r="F363" s="914">
        <v>223.41247611699868</v>
      </c>
      <c r="G363" s="914">
        <v>235.2892736225177</v>
      </c>
      <c r="H363" s="914">
        <v>241.6920712265439</v>
      </c>
      <c r="I363" s="914">
        <v>246.56659612211084</v>
      </c>
      <c r="J363" s="914">
        <v>255.55094332875294</v>
      </c>
      <c r="K363" s="914">
        <v>264.57905396662414</v>
      </c>
      <c r="L363" s="914">
        <v>275.89920726734971</v>
      </c>
      <c r="M363" s="914">
        <v>287.49516661999758</v>
      </c>
      <c r="N363" s="914">
        <v>300.32909110683801</v>
      </c>
      <c r="O363" s="914">
        <v>313.11554742582229</v>
      </c>
      <c r="P363" s="914">
        <v>328.18192619930682</v>
      </c>
      <c r="Q363" s="914">
        <v>341.8235015289352</v>
      </c>
      <c r="R363" s="914">
        <v>355.09694320426638</v>
      </c>
      <c r="S363" s="914">
        <v>365.44612056098629</v>
      </c>
      <c r="T363" s="914">
        <v>378.29315112389759</v>
      </c>
      <c r="U363" s="914">
        <v>388.37155634393389</v>
      </c>
      <c r="V363" s="914">
        <v>402.59953615177363</v>
      </c>
      <c r="W363" s="914">
        <v>419.77981120164446</v>
      </c>
      <c r="X363" s="914">
        <v>438.87123825530841</v>
      </c>
      <c r="Y363" s="914">
        <v>455.24534715742953</v>
      </c>
      <c r="Z363" s="914">
        <v>473.03338245571979</v>
      </c>
    </row>
    <row r="364" spans="1:70" x14ac:dyDescent="0.25">
      <c r="A364" s="912" t="s">
        <v>480</v>
      </c>
      <c r="B364" s="914">
        <v>165.81601818957134</v>
      </c>
      <c r="C364" s="914">
        <v>172.89260864257801</v>
      </c>
      <c r="D364" s="914">
        <v>187.38257557629601</v>
      </c>
      <c r="E364" s="914">
        <v>169.14737359110225</v>
      </c>
      <c r="F364" s="914">
        <v>163.07263216137929</v>
      </c>
      <c r="G364" s="914">
        <v>172.91593328178766</v>
      </c>
      <c r="H364" s="914">
        <v>176.9297785804325</v>
      </c>
      <c r="I364" s="914">
        <v>182.88131988639063</v>
      </c>
      <c r="J364" s="914">
        <v>191.23749630338142</v>
      </c>
      <c r="K364" s="914">
        <v>199.89645601118545</v>
      </c>
      <c r="L364" s="914">
        <v>210.36479941888081</v>
      </c>
      <c r="M364" s="914">
        <v>221.36240217535854</v>
      </c>
      <c r="N364" s="914">
        <v>233.19080564556924</v>
      </c>
      <c r="O364" s="914">
        <v>244.70314616363081</v>
      </c>
      <c r="P364" s="914">
        <v>258.1051490216438</v>
      </c>
      <c r="Q364" s="914">
        <v>271.26123343313407</v>
      </c>
      <c r="R364" s="914">
        <v>283.50995205362011</v>
      </c>
      <c r="S364" s="914">
        <v>292.88584879534454</v>
      </c>
      <c r="T364" s="914">
        <v>303.70259464185926</v>
      </c>
      <c r="U364" s="914">
        <v>313.58347456242666</v>
      </c>
      <c r="V364" s="914">
        <v>325.89089746765683</v>
      </c>
      <c r="W364" s="914">
        <v>341.11550736031069</v>
      </c>
      <c r="X364" s="914">
        <v>358.21009848865214</v>
      </c>
      <c r="Y364" s="914">
        <v>374.9131546581271</v>
      </c>
      <c r="Z364" s="914">
        <v>392.1016075075479</v>
      </c>
    </row>
    <row r="365" spans="1:70" ht="13" thickBot="1" x14ac:dyDescent="0.3">
      <c r="A365" s="912" t="s">
        <v>515</v>
      </c>
      <c r="B365" s="914">
        <v>210.41252056252281</v>
      </c>
      <c r="C365" s="914">
        <v>226.88609313964801</v>
      </c>
      <c r="D365" s="914">
        <v>254.13497179068762</v>
      </c>
      <c r="E365" s="914">
        <v>187.2100922767749</v>
      </c>
      <c r="F365" s="914">
        <v>157.4270874391178</v>
      </c>
      <c r="G365" s="914">
        <v>180.83829470805441</v>
      </c>
      <c r="H365" s="914">
        <v>198.41655822177904</v>
      </c>
      <c r="I365" s="914">
        <v>216.64201952030527</v>
      </c>
      <c r="J365" s="914">
        <v>228.79975664936245</v>
      </c>
      <c r="K365" s="914">
        <v>241.15463361452254</v>
      </c>
      <c r="L365" s="914">
        <v>252.64480203410886</v>
      </c>
      <c r="M365" s="914">
        <v>265.1637238738445</v>
      </c>
      <c r="N365" s="914">
        <v>278.29776899368039</v>
      </c>
      <c r="O365" s="914">
        <v>289.61773721654419</v>
      </c>
      <c r="P365" s="914">
        <v>303.56832242347855</v>
      </c>
      <c r="Q365" s="914">
        <v>314.41390898844122</v>
      </c>
      <c r="R365" s="914">
        <v>323.63277263436424</v>
      </c>
      <c r="S365" s="914">
        <v>331.42426143912343</v>
      </c>
      <c r="T365" s="914">
        <v>339.57307272400601</v>
      </c>
      <c r="U365" s="914">
        <v>343.93727888891527</v>
      </c>
      <c r="V365" s="914">
        <v>351.82746805051073</v>
      </c>
      <c r="W365" s="914">
        <v>360.73339056833169</v>
      </c>
      <c r="X365" s="914">
        <v>371.92375563686846</v>
      </c>
      <c r="Y365" s="914">
        <v>381.22301587849751</v>
      </c>
      <c r="Z365" s="914">
        <v>389.10731115707301</v>
      </c>
    </row>
    <row r="366" spans="1:70" ht="13" thickBot="1" x14ac:dyDescent="0.3">
      <c r="A366" s="912" t="s">
        <v>487</v>
      </c>
      <c r="B366" s="914">
        <v>549.81888270324475</v>
      </c>
      <c r="C366" s="914">
        <v>596.84759521484398</v>
      </c>
      <c r="D366" s="914">
        <v>708.90187629235277</v>
      </c>
      <c r="E366" s="914">
        <v>406.38667462869051</v>
      </c>
      <c r="F366" s="914">
        <v>447.16295305198071</v>
      </c>
      <c r="G366" s="914">
        <v>542.65678113398656</v>
      </c>
      <c r="H366" s="914">
        <v>604.00010341071868</v>
      </c>
      <c r="I366" s="914">
        <v>661.06483901631009</v>
      </c>
      <c r="J366" s="914">
        <v>714.35686387994281</v>
      </c>
      <c r="K366" s="914">
        <v>764.16924059162022</v>
      </c>
      <c r="L366" s="914">
        <v>805.13331786340132</v>
      </c>
      <c r="M366" s="914">
        <v>850.39970498506295</v>
      </c>
      <c r="N366" s="914">
        <v>892.06783074940802</v>
      </c>
      <c r="O366" s="914">
        <v>929.55049698437085</v>
      </c>
      <c r="P366" s="914">
        <v>964.20679928883487</v>
      </c>
      <c r="Q366" s="914">
        <v>990.06920191633094</v>
      </c>
      <c r="R366" s="914">
        <v>1016.1557534719609</v>
      </c>
      <c r="S366" s="914">
        <v>1054.8326731961108</v>
      </c>
      <c r="T366" s="914">
        <v>1091.2729592511287</v>
      </c>
      <c r="U366" s="914">
        <v>1118.0349113947391</v>
      </c>
      <c r="V366" s="914">
        <v>1161.085260138974</v>
      </c>
      <c r="W366" s="914">
        <v>1181.9301954596156</v>
      </c>
      <c r="X366" s="914">
        <v>1232.4560893451367</v>
      </c>
      <c r="Y366" s="914">
        <v>1290.1595195386233</v>
      </c>
      <c r="Z366" s="914">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5">
      <c r="A367" s="912" t="s">
        <v>516</v>
      </c>
      <c r="B367" s="914">
        <v>1151.0859678463546</v>
      </c>
      <c r="C367" s="914">
        <v>1235.02709960938</v>
      </c>
      <c r="D367" s="914">
        <v>1405.9186066996403</v>
      </c>
      <c r="E367" s="914">
        <v>993.73713091111074</v>
      </c>
      <c r="F367" s="914">
        <v>991.07514876947641</v>
      </c>
      <c r="G367" s="914">
        <v>1131.7003147881212</v>
      </c>
      <c r="H367" s="914">
        <v>1221.038560105055</v>
      </c>
      <c r="I367" s="914">
        <v>1307.1547250090439</v>
      </c>
      <c r="J367" s="914">
        <v>1389.9450601614428</v>
      </c>
      <c r="K367" s="914">
        <v>1469.7993497059265</v>
      </c>
      <c r="L367" s="914">
        <v>1544.0421618496678</v>
      </c>
      <c r="M367" s="914">
        <v>1624.4209976542634</v>
      </c>
      <c r="N367" s="914">
        <v>1703.8854780296228</v>
      </c>
      <c r="O367" s="914">
        <v>1776.9868521708881</v>
      </c>
      <c r="P367" s="914">
        <v>1854.0622550605767</v>
      </c>
      <c r="Q367" s="914">
        <v>1917.5679054742993</v>
      </c>
      <c r="R367" s="914">
        <v>1978.3954213642144</v>
      </c>
      <c r="S367" s="914">
        <v>2044.5889248527621</v>
      </c>
      <c r="T367" s="914">
        <v>2112.8417777408945</v>
      </c>
      <c r="U367" s="914">
        <v>2163.9271994062915</v>
      </c>
      <c r="V367" s="914">
        <v>2241.4031618089139</v>
      </c>
      <c r="W367" s="914">
        <v>2303.558949985179</v>
      </c>
      <c r="X367" s="914">
        <v>2401.4612280803153</v>
      </c>
      <c r="Y367" s="914">
        <v>2501.5410135735665</v>
      </c>
      <c r="Z367" s="914">
        <v>2576.2560875804752</v>
      </c>
    </row>
    <row r="368" spans="1:70" ht="13" thickBot="1" x14ac:dyDescent="0.3">
      <c r="A368" s="912" t="s">
        <v>629</v>
      </c>
      <c r="B368" s="914">
        <v>3.1288517293273019E-2</v>
      </c>
      <c r="C368" s="914">
        <v>4.0145620703697205E-2</v>
      </c>
      <c r="D368" s="914">
        <v>3.8515830891447944E-2</v>
      </c>
      <c r="E368" s="914">
        <v>2.6303627333810531E-2</v>
      </c>
      <c r="F368" s="914">
        <v>5.6047443014104255E-2</v>
      </c>
      <c r="G368" s="914">
        <v>7.1119337023784479E-2</v>
      </c>
      <c r="H368" s="914">
        <v>8.8428224145552056E-2</v>
      </c>
      <c r="I368" s="914">
        <v>0.10266115711707489</v>
      </c>
      <c r="J368" s="914">
        <v>0.12491143634290662</v>
      </c>
      <c r="K368" s="914">
        <v>2.2293869286864165</v>
      </c>
      <c r="L368" s="914">
        <v>5.6123954184121017</v>
      </c>
      <c r="M368" s="914">
        <v>7.9566359351664051</v>
      </c>
      <c r="N368" s="914">
        <v>12.724991751969894</v>
      </c>
      <c r="O368" s="914">
        <v>19.495647700796784</v>
      </c>
      <c r="P368" s="914">
        <v>28.06371652814466</v>
      </c>
      <c r="Q368" s="914">
        <v>33.841758141316177</v>
      </c>
      <c r="R368" s="914">
        <v>47.452021910622882</v>
      </c>
      <c r="S368" s="914">
        <v>48.667640008057987</v>
      </c>
      <c r="T368" s="914">
        <v>47.767774332439714</v>
      </c>
      <c r="U368" s="914">
        <v>50.842459413568172</v>
      </c>
      <c r="V368" s="914">
        <v>54.12672288853372</v>
      </c>
      <c r="W368" s="914">
        <v>67.349033728123644</v>
      </c>
      <c r="X368" s="914">
        <v>72.870357898145016</v>
      </c>
      <c r="Y368" s="914">
        <v>82.472655922369356</v>
      </c>
      <c r="Z368" s="914">
        <v>85.74303480046683</v>
      </c>
    </row>
    <row r="369" spans="1:70" ht="13" thickBot="1" x14ac:dyDescent="0.3">
      <c r="A369" s="912" t="s">
        <v>518</v>
      </c>
      <c r="B369" s="914">
        <v>1151.1172301979784</v>
      </c>
      <c r="C369" s="914">
        <v>1235.06726074219</v>
      </c>
      <c r="D369" s="914">
        <v>1405.957155546361</v>
      </c>
      <c r="E369" s="914">
        <v>993.76346133595302</v>
      </c>
      <c r="F369" s="914">
        <v>991.13120249830877</v>
      </c>
      <c r="G369" s="914">
        <v>1131.7714475332546</v>
      </c>
      <c r="H369" s="914">
        <v>1221.1269368042056</v>
      </c>
      <c r="I369" s="914">
        <v>1307.2573637523753</v>
      </c>
      <c r="J369" s="914">
        <v>1390.0699789505047</v>
      </c>
      <c r="K369" s="914">
        <v>1472.0286986549243</v>
      </c>
      <c r="L369" s="914">
        <v>1549.6545225531884</v>
      </c>
      <c r="M369" s="914">
        <v>1632.3776685401217</v>
      </c>
      <c r="N369" s="914">
        <v>1716.6105344121597</v>
      </c>
      <c r="O369" s="914">
        <v>1796.4824632434897</v>
      </c>
      <c r="P369" s="914">
        <v>1882.1259667447755</v>
      </c>
      <c r="Q369" s="914">
        <v>1951.4096785174786</v>
      </c>
      <c r="R369" s="914">
        <v>2025.8475094892897</v>
      </c>
      <c r="S369" s="914">
        <v>2093.2565961526161</v>
      </c>
      <c r="T369" s="914">
        <v>2160.609578738799</v>
      </c>
      <c r="U369" s="914">
        <v>2214.7697023873047</v>
      </c>
      <c r="V369" s="914">
        <v>2295.5298624598372</v>
      </c>
      <c r="W369" s="914">
        <v>2370.9079156203875</v>
      </c>
      <c r="X369" s="914">
        <v>2474.3315685955818</v>
      </c>
      <c r="Y369" s="914">
        <v>2584.0136458368329</v>
      </c>
      <c r="Z369" s="914">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 thickBot="1" x14ac:dyDescent="0.3">
      <c r="A373" s="912" t="s">
        <v>630</v>
      </c>
    </row>
    <row r="374" spans="1:70" ht="13" thickBot="1" x14ac:dyDescent="0.3">
      <c r="A374" s="912"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 thickBot="1" x14ac:dyDescent="0.3">
      <c r="A375" s="912" t="s">
        <v>632</v>
      </c>
    </row>
    <row r="376" spans="1:70" ht="13" thickBot="1" x14ac:dyDescent="0.3">
      <c r="A376" s="912"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5">
      <c r="A377" s="912" t="s">
        <v>729</v>
      </c>
    </row>
    <row r="378" spans="1:70" x14ac:dyDescent="0.25">
      <c r="A378" s="912" t="s">
        <v>649</v>
      </c>
    </row>
    <row r="379" spans="1:70" ht="13" thickBot="1" x14ac:dyDescent="0.3">
      <c r="A379" s="912" t="s">
        <v>650</v>
      </c>
    </row>
    <row r="380" spans="1:70" ht="13" thickBot="1" x14ac:dyDescent="0.3">
      <c r="A380" s="912"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5">
      <c r="A381" s="912" t="s">
        <v>652</v>
      </c>
    </row>
    <row r="382" spans="1:70" x14ac:dyDescent="0.25">
      <c r="A382" s="912" t="s">
        <v>653</v>
      </c>
    </row>
    <row r="383" spans="1:70" x14ac:dyDescent="0.25">
      <c r="A383" s="912" t="s">
        <v>654</v>
      </c>
    </row>
    <row r="384" spans="1:70" x14ac:dyDescent="0.25">
      <c r="A384" s="912" t="s">
        <v>545</v>
      </c>
    </row>
    <row r="385" spans="1:70" x14ac:dyDescent="0.25">
      <c r="A385" s="912" t="s">
        <v>730</v>
      </c>
    </row>
    <row r="386" spans="1:70" x14ac:dyDescent="0.25">
      <c r="A386" s="912" t="s">
        <v>731</v>
      </c>
    </row>
    <row r="387" spans="1:70" x14ac:dyDescent="0.25">
      <c r="A387" s="912" t="s">
        <v>732</v>
      </c>
    </row>
    <row r="388" spans="1:70" x14ac:dyDescent="0.25">
      <c r="A388" s="912" t="s">
        <v>733</v>
      </c>
    </row>
    <row r="389" spans="1:70" x14ac:dyDescent="0.25">
      <c r="A389" s="912" t="s">
        <v>734</v>
      </c>
    </row>
    <row r="390" spans="1:70" x14ac:dyDescent="0.25">
      <c r="A390" s="912" t="s">
        <v>735</v>
      </c>
    </row>
    <row r="391" spans="1:70" ht="13" thickBot="1" x14ac:dyDescent="0.3">
      <c r="A391" s="912" t="s">
        <v>736</v>
      </c>
    </row>
    <row r="392" spans="1:70" ht="13" thickBot="1" x14ac:dyDescent="0.3">
      <c r="A392" s="912"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 thickBot="1" x14ac:dyDescent="0.3">
      <c r="A393" s="912"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5">
      <c r="A394" s="912" t="s">
        <v>739</v>
      </c>
    </row>
    <row r="395" spans="1:70" x14ac:dyDescent="0.25">
      <c r="A395" s="912" t="s">
        <v>740</v>
      </c>
    </row>
    <row r="396" spans="1:70" x14ac:dyDescent="0.25">
      <c r="A396" s="912" t="s">
        <v>741</v>
      </c>
    </row>
    <row r="397" spans="1:70" x14ac:dyDescent="0.25">
      <c r="A397" s="912" t="s">
        <v>742</v>
      </c>
    </row>
    <row r="403" spans="1:26" x14ac:dyDescent="0.25">
      <c r="A403" s="306" t="s">
        <v>863</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5">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5">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5">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5">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5">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5">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5">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5">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5">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5">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5">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5">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5">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5">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5">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5">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5">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5">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5">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5">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5">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5">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5">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5">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5">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5">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5">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5">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5">
      <c r="A432" s="306" t="s">
        <v>616</v>
      </c>
      <c r="B432" s="306"/>
      <c r="C432" s="306"/>
      <c r="D432" s="306" t="s">
        <v>1082</v>
      </c>
      <c r="E432" s="306" t="s">
        <v>1082</v>
      </c>
      <c r="F432" s="306" t="s">
        <v>1082</v>
      </c>
      <c r="G432" s="306" t="s">
        <v>1082</v>
      </c>
      <c r="H432" s="306" t="s">
        <v>1082</v>
      </c>
      <c r="I432" s="306" t="s">
        <v>1082</v>
      </c>
      <c r="J432" s="306" t="s">
        <v>1082</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5">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5">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5">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5">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5">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5">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5">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5">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5">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5">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5">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5">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5">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5">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5">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5">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5">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5">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5">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5">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5">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5">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5">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5">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5">
      <c r="A458" s="306" t="s">
        <v>616</v>
      </c>
      <c r="B458" s="306"/>
      <c r="C458" s="306"/>
      <c r="D458" s="306" t="s">
        <v>1082</v>
      </c>
      <c r="E458" s="306" t="s">
        <v>1082</v>
      </c>
      <c r="F458" s="306" t="s">
        <v>1082</v>
      </c>
      <c r="G458" s="306" t="s">
        <v>1082</v>
      </c>
      <c r="H458" s="306" t="s">
        <v>1082</v>
      </c>
      <c r="I458" s="306" t="s">
        <v>1082</v>
      </c>
      <c r="J458" s="306" t="s">
        <v>1082</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5">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5">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5">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5">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5">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5">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5">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5">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5">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5">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5">
      <c r="A469" s="293" t="s">
        <v>1081</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 thickBot="1" x14ac:dyDescent="0.3">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 thickBot="1" x14ac:dyDescent="0.3">
      <c r="A471" s="306" t="s">
        <v>976</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 thickBot="1" x14ac:dyDescent="0.3">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5">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5">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5">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5">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5">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5">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 thickBot="1" x14ac:dyDescent="0.3">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 thickBot="1" x14ac:dyDescent="0.3">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5">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 thickBot="1" x14ac:dyDescent="0.3">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 thickBot="1" x14ac:dyDescent="0.3">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5">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5">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5">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 thickBot="1" x14ac:dyDescent="0.3">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 thickBot="1" x14ac:dyDescent="0.3">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 thickBot="1" x14ac:dyDescent="0.3">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 thickBot="1" x14ac:dyDescent="0.3">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5">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5">
      <c r="A492" s="306" t="s">
        <v>926</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 thickBot="1" x14ac:dyDescent="0.3">
      <c r="A493" s="306" t="s">
        <v>927</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 thickBot="1" x14ac:dyDescent="0.3">
      <c r="A494" s="306" t="s">
        <v>949</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5">
      <c r="A495" s="306" t="s">
        <v>950</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5">
      <c r="A496" s="306" t="s">
        <v>975</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 thickBot="1" x14ac:dyDescent="0.3"/>
    <row r="500" spans="1:70" ht="13" x14ac:dyDescent="0.3">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5">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5">
      <c r="A502" s="249" t="s">
        <v>859</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5">
      <c r="A503" s="249" t="s">
        <v>860</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5">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 thickBot="1" x14ac:dyDescent="0.3">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 thickBot="1" x14ac:dyDescent="0.3">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 thickBot="1" x14ac:dyDescent="0.3">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5">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5">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5">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5">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5">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5">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5">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5">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5">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5">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5">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5">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5">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5">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5">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5">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5">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5">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5">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5">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5">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5">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 thickBot="1" x14ac:dyDescent="0.3">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 thickBot="1" x14ac:dyDescent="0.3">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5">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5">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5">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5">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5">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5">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5">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5">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5">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5">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5">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5">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5">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5">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5">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5">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5">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5">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5">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5">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5">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5">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5">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5">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5">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5">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5">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5">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5">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5">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5">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5">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5">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5">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5">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5">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5">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5">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5">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5">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5">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5">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5">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5">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5">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5">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5">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5">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5">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5">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5">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5">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5">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5">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5">
      <c r="A586" s="293" t="s">
        <v>1081</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5">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5">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5">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5">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5">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5">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5">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5">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5">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5">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5">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5">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5">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5">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5">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5">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5">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5">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5">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5">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5">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5">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5">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5">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5">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5">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5">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 thickBot="1" x14ac:dyDescent="0.3">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5">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5">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 thickBot="1" x14ac:dyDescent="0.3">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ht="13" x14ac:dyDescent="0.3">
      <c r="A618" s="256" t="s">
        <v>561</v>
      </c>
      <c r="B618" s="257"/>
      <c r="C618" s="257" t="s">
        <v>861</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ht="13" x14ac:dyDescent="0.3">
      <c r="A619" s="258" t="s">
        <v>562</v>
      </c>
      <c r="B619" s="250"/>
      <c r="C619" s="1656" t="s">
        <v>866</v>
      </c>
      <c r="D619" s="1656"/>
      <c r="E619" s="1656"/>
      <c r="F619" s="1656"/>
      <c r="G619" s="1656"/>
      <c r="H619" s="1656"/>
      <c r="I619" s="1656"/>
      <c r="J619" s="1656"/>
      <c r="K619" s="1656"/>
      <c r="L619" s="1656"/>
      <c r="M619" s="1656"/>
      <c r="N619" s="1656"/>
      <c r="O619" s="1656"/>
      <c r="P619" s="1656"/>
      <c r="Q619" s="1656"/>
      <c r="R619" s="1656"/>
      <c r="S619" s="1656"/>
      <c r="T619" s="1656"/>
      <c r="U619" s="1656"/>
      <c r="V619" s="1656"/>
      <c r="W619" s="1656"/>
      <c r="X619" s="1656"/>
      <c r="Y619" s="1656"/>
    </row>
    <row r="620" spans="1:26" x14ac:dyDescent="0.25">
      <c r="A620" s="249" t="s">
        <v>563</v>
      </c>
      <c r="B620" s="250"/>
      <c r="C620" s="1656" t="s">
        <v>867</v>
      </c>
      <c r="D620" s="1656"/>
      <c r="E620" s="1656"/>
      <c r="F620" s="1656"/>
      <c r="G620" s="1656"/>
      <c r="H620" s="1656"/>
      <c r="I620" s="1656"/>
      <c r="J620" s="1656"/>
      <c r="K620" s="1656"/>
      <c r="L620" s="1656"/>
      <c r="M620" s="1656"/>
      <c r="N620" s="1656"/>
      <c r="O620" s="1656"/>
      <c r="P620" s="1656"/>
      <c r="Q620" s="1656"/>
      <c r="R620" s="1656"/>
      <c r="S620" s="1656"/>
      <c r="T620" s="1656"/>
      <c r="U620" s="1656"/>
      <c r="V620" s="1656"/>
      <c r="W620" s="1656"/>
      <c r="X620" s="1656"/>
      <c r="Y620" s="1656"/>
    </row>
    <row r="621" spans="1:26" x14ac:dyDescent="0.25">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5">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5">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5">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5">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5">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5">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5">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5">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5">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5">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5">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5">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5">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5">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5">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5">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5">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5">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5">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5">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5">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5">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5">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5">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5">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5">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5">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5">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5">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5">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5">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5">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5">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5">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5">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5">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5">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5">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5">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5">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5">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5">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5">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5">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5">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5">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5">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5">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5">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5">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5">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5">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5">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5">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5">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5">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5">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5">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5">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5">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5">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5">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5">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5">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5">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5">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5">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5">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5">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5">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5">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5">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5">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5">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5">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5">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5">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5">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5">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5">
      <c r="A701" s="302" t="s">
        <v>1081</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5">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5">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5">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5">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5">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5">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5">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5">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5">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5">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5">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5">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5">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5">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5">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5">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5">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5">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5">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5">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5">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5">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5">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5">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5">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5">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5">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5">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5">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 thickBot="1" x14ac:dyDescent="0.3">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5">
      <c r="A732" s="1655" t="s">
        <v>437</v>
      </c>
      <c r="B732" s="1655"/>
      <c r="C732" s="1655"/>
      <c r="D732" s="1655"/>
      <c r="E732" s="1655"/>
      <c r="F732" s="1655"/>
      <c r="G732" s="1655"/>
      <c r="H732" s="1655"/>
      <c r="I732" s="1655"/>
      <c r="J732" s="1655"/>
      <c r="K732" s="1655"/>
      <c r="L732" s="1655"/>
      <c r="M732" s="1655"/>
      <c r="N732" s="295"/>
      <c r="O732" s="295"/>
      <c r="P732" s="295"/>
      <c r="Q732" s="295"/>
      <c r="R732" s="295"/>
      <c r="S732" s="295"/>
      <c r="T732" s="295"/>
      <c r="U732" s="295"/>
      <c r="V732" s="295"/>
      <c r="W732" s="295"/>
      <c r="X732" s="295"/>
      <c r="Y732" s="295"/>
    </row>
    <row r="733" spans="1:25" x14ac:dyDescent="0.25">
      <c r="A733" s="295" t="s">
        <v>1089</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3.5" thickBot="1" x14ac:dyDescent="0.35">
      <c r="A736" s="1653" t="s">
        <v>565</v>
      </c>
      <c r="B736" s="1654"/>
      <c r="C736" s="1654"/>
      <c r="D736" s="260"/>
      <c r="E736" s="260"/>
      <c r="F736" s="260"/>
      <c r="G736" s="260"/>
      <c r="H736" s="260"/>
      <c r="I736" s="260"/>
      <c r="J736" s="260"/>
    </row>
    <row r="737" spans="1:10" ht="50.5" thickTop="1" x14ac:dyDescent="0.25">
      <c r="A737" s="261"/>
      <c r="B737" s="262" t="s">
        <v>566</v>
      </c>
      <c r="C737" s="262" t="s">
        <v>567</v>
      </c>
      <c r="D737" s="262" t="s">
        <v>568</v>
      </c>
      <c r="E737" s="262" t="s">
        <v>590</v>
      </c>
      <c r="F737" s="263"/>
      <c r="G737" s="263"/>
      <c r="H737" s="263"/>
      <c r="I737" s="263"/>
      <c r="J737" s="264"/>
    </row>
    <row r="738" spans="1:10" x14ac:dyDescent="0.25">
      <c r="A738" s="265"/>
      <c r="B738" s="266"/>
      <c r="C738" s="266"/>
      <c r="D738" s="266"/>
      <c r="E738" s="266"/>
      <c r="F738" s="266"/>
      <c r="G738" s="266"/>
      <c r="H738" s="266"/>
      <c r="I738" s="266"/>
      <c r="J738" s="267"/>
    </row>
    <row r="739" spans="1:10" x14ac:dyDescent="0.25">
      <c r="A739" s="265"/>
      <c r="B739" s="266"/>
      <c r="C739" s="266"/>
      <c r="D739" s="266"/>
      <c r="E739" s="266"/>
      <c r="F739" s="266"/>
      <c r="G739" s="266"/>
      <c r="H739" s="266"/>
      <c r="I739" s="266"/>
      <c r="J739" s="267"/>
    </row>
    <row r="740" spans="1:10" x14ac:dyDescent="0.25">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5">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5">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5">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5">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5">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5">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5">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5">
      <c r="A748" s="265"/>
      <c r="B748" s="266"/>
      <c r="C748" s="266"/>
      <c r="D748" s="266"/>
      <c r="E748" s="266"/>
      <c r="F748" s="266"/>
      <c r="G748" s="266"/>
      <c r="H748" s="266"/>
      <c r="I748" s="266"/>
      <c r="J748" s="267"/>
    </row>
    <row r="749" spans="1:10" x14ac:dyDescent="0.25">
      <c r="A749" s="265"/>
      <c r="B749" s="266"/>
      <c r="C749" s="266"/>
      <c r="D749" s="266"/>
      <c r="E749" s="1652" t="s">
        <v>576</v>
      </c>
      <c r="F749" s="1652"/>
      <c r="G749" s="1652"/>
      <c r="H749" s="1652"/>
      <c r="I749" s="1652"/>
      <c r="J749" s="268"/>
    </row>
    <row r="750" spans="1:10" x14ac:dyDescent="0.25">
      <c r="A750" s="265" t="s">
        <v>577</v>
      </c>
      <c r="B750" s="266"/>
      <c r="C750" s="266" t="s">
        <v>578</v>
      </c>
      <c r="D750" s="266" t="s">
        <v>578</v>
      </c>
      <c r="E750" s="266"/>
      <c r="F750" s="266"/>
      <c r="G750" s="266"/>
      <c r="H750" s="266"/>
      <c r="I750" s="266"/>
      <c r="J750" s="267"/>
    </row>
    <row r="751" spans="1:10" x14ac:dyDescent="0.25">
      <c r="A751" s="265"/>
      <c r="B751" s="266" t="s">
        <v>1049</v>
      </c>
      <c r="C751" s="266">
        <v>2000</v>
      </c>
      <c r="D751" s="266">
        <v>2005</v>
      </c>
      <c r="E751" s="266">
        <v>2020</v>
      </c>
      <c r="F751" s="266">
        <v>2035</v>
      </c>
      <c r="G751" s="266">
        <v>2050</v>
      </c>
      <c r="H751" s="266">
        <v>2065</v>
      </c>
      <c r="I751" s="266">
        <v>2080</v>
      </c>
      <c r="J751" s="267"/>
    </row>
    <row r="752" spans="1:10" x14ac:dyDescent="0.25">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5">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5">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5">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5">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5">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5">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5">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5">
      <c r="A760" s="265"/>
      <c r="B760" s="266"/>
      <c r="C760" s="266"/>
      <c r="D760" s="266"/>
      <c r="E760" s="266"/>
      <c r="F760" s="266"/>
      <c r="G760" s="266"/>
      <c r="H760" s="266"/>
      <c r="I760" s="266"/>
      <c r="J760" s="267"/>
    </row>
    <row r="761" spans="1:10" ht="37.5" x14ac:dyDescent="0.25">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 thickBot="1" x14ac:dyDescent="0.3">
      <c r="A762" s="270"/>
      <c r="B762" s="271">
        <v>17.2</v>
      </c>
      <c r="C762" s="271" t="s">
        <v>586</v>
      </c>
      <c r="D762" s="271"/>
      <c r="E762" s="271"/>
      <c r="F762" s="271"/>
      <c r="G762" s="271"/>
      <c r="H762" s="271"/>
      <c r="I762" s="271"/>
      <c r="J762" s="272"/>
    </row>
    <row r="763" spans="1:10" ht="13" thickTop="1" x14ac:dyDescent="0.25"/>
    <row r="764" spans="1:10" x14ac:dyDescent="0.25">
      <c r="A764" s="463" t="s">
        <v>813</v>
      </c>
    </row>
    <row r="765" spans="1:10" x14ac:dyDescent="0.25">
      <c r="A765" t="s">
        <v>807</v>
      </c>
    </row>
    <row r="766" spans="1:10" x14ac:dyDescent="0.25">
      <c r="A766" t="s">
        <v>808</v>
      </c>
    </row>
    <row r="767" spans="1:10" x14ac:dyDescent="0.25">
      <c r="A767" t="s">
        <v>809</v>
      </c>
    </row>
    <row r="769" spans="1:27" x14ac:dyDescent="0.25">
      <c r="A769" t="s">
        <v>447</v>
      </c>
    </row>
    <row r="770" spans="1:27" x14ac:dyDescent="0.25">
      <c r="A770" t="s">
        <v>722</v>
      </c>
    </row>
    <row r="773" spans="1:27" x14ac:dyDescent="0.25">
      <c r="AA773" t="s">
        <v>810</v>
      </c>
    </row>
    <row r="774" spans="1:27" x14ac:dyDescent="0.25">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5">
      <c r="A777" t="s">
        <v>473</v>
      </c>
    </row>
    <row r="778" spans="1:27" x14ac:dyDescent="0.25">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480</v>
      </c>
    </row>
    <row r="784" spans="1:27" x14ac:dyDescent="0.25">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612</v>
      </c>
    </row>
    <row r="791" spans="1:27" x14ac:dyDescent="0.25">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5">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487</v>
      </c>
    </row>
    <row r="801" spans="1:27" x14ac:dyDescent="0.25">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623</v>
      </c>
    </row>
    <row r="811" spans="1:27" x14ac:dyDescent="0.25">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625</v>
      </c>
    </row>
    <row r="817" spans="1:27" x14ac:dyDescent="0.25">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5">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513</v>
      </c>
    </row>
    <row r="830" spans="1:27" x14ac:dyDescent="0.25">
      <c r="A830" t="s">
        <v>725</v>
      </c>
    </row>
    <row r="831" spans="1:27" x14ac:dyDescent="0.25">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726</v>
      </c>
    </row>
    <row r="841" spans="1:27" x14ac:dyDescent="0.25">
      <c r="A841" t="s">
        <v>473</v>
      </c>
    </row>
    <row r="842" spans="1:27" x14ac:dyDescent="0.25">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480</v>
      </c>
    </row>
    <row r="848" spans="1:27" x14ac:dyDescent="0.25">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612</v>
      </c>
    </row>
    <row r="855" spans="1:27" x14ac:dyDescent="0.25">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5">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5">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623</v>
      </c>
    </row>
    <row r="875" spans="1:27" x14ac:dyDescent="0.25">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625</v>
      </c>
    </row>
    <row r="881" spans="1:27" x14ac:dyDescent="0.25">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5">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513</v>
      </c>
    </row>
    <row r="894" spans="1:27" x14ac:dyDescent="0.25">
      <c r="A894" t="s">
        <v>727</v>
      </c>
    </row>
    <row r="895" spans="1:27" x14ac:dyDescent="0.25">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630</v>
      </c>
    </row>
    <row r="906" spans="1:27" x14ac:dyDescent="0.25">
      <c r="A906" t="s">
        <v>631</v>
      </c>
    </row>
    <row r="907" spans="1:27" x14ac:dyDescent="0.25">
      <c r="A907" t="s">
        <v>632</v>
      </c>
    </row>
    <row r="908" spans="1:27" x14ac:dyDescent="0.25">
      <c r="A908" t="s">
        <v>728</v>
      </c>
    </row>
    <row r="909" spans="1:27" x14ac:dyDescent="0.25">
      <c r="A909" t="s">
        <v>729</v>
      </c>
    </row>
    <row r="910" spans="1:27" x14ac:dyDescent="0.25">
      <c r="A910" t="s">
        <v>649</v>
      </c>
    </row>
    <row r="911" spans="1:27" x14ac:dyDescent="0.25">
      <c r="A911" t="s">
        <v>650</v>
      </c>
    </row>
    <row r="912" spans="1:27" x14ac:dyDescent="0.25">
      <c r="A912" t="s">
        <v>651</v>
      </c>
    </row>
    <row r="913" spans="1:1" x14ac:dyDescent="0.25">
      <c r="A913" t="s">
        <v>652</v>
      </c>
    </row>
    <row r="914" spans="1:1" x14ac:dyDescent="0.25">
      <c r="A914" t="s">
        <v>653</v>
      </c>
    </row>
    <row r="915" spans="1:1" x14ac:dyDescent="0.25">
      <c r="A915" t="s">
        <v>654</v>
      </c>
    </row>
    <row r="916" spans="1:1" x14ac:dyDescent="0.25">
      <c r="A916" t="s">
        <v>545</v>
      </c>
    </row>
    <row r="917" spans="1:1" x14ac:dyDescent="0.25">
      <c r="A917" t="s">
        <v>730</v>
      </c>
    </row>
    <row r="918" spans="1:1" x14ac:dyDescent="0.25">
      <c r="A918" t="s">
        <v>731</v>
      </c>
    </row>
    <row r="919" spans="1:1" x14ac:dyDescent="0.25">
      <c r="A919" t="s">
        <v>732</v>
      </c>
    </row>
    <row r="920" spans="1:1" x14ac:dyDescent="0.25">
      <c r="A920" t="s">
        <v>733</v>
      </c>
    </row>
    <row r="921" spans="1:1" x14ac:dyDescent="0.25">
      <c r="A921" t="s">
        <v>734</v>
      </c>
    </row>
    <row r="922" spans="1:1" x14ac:dyDescent="0.25">
      <c r="A922" t="s">
        <v>735</v>
      </c>
    </row>
    <row r="923" spans="1:1" x14ac:dyDescent="0.25">
      <c r="A923" t="s">
        <v>736</v>
      </c>
    </row>
    <row r="924" spans="1:1" x14ac:dyDescent="0.25">
      <c r="A924" t="s">
        <v>737</v>
      </c>
    </row>
    <row r="925" spans="1:1" x14ac:dyDescent="0.25">
      <c r="A925" t="s">
        <v>738</v>
      </c>
    </row>
    <row r="926" spans="1:1" x14ac:dyDescent="0.25">
      <c r="A926" t="s">
        <v>739</v>
      </c>
    </row>
    <row r="927" spans="1:1" x14ac:dyDescent="0.25">
      <c r="A927" t="s">
        <v>811</v>
      </c>
    </row>
    <row r="928" spans="1:1" x14ac:dyDescent="0.25">
      <c r="A928" t="s">
        <v>741</v>
      </c>
    </row>
    <row r="929" spans="1:1" x14ac:dyDescent="0.25">
      <c r="A929" t="s">
        <v>812</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94" sqref="D94:E118"/>
    </sheetView>
  </sheetViews>
  <sheetFormatPr defaultRowHeight="12.5" x14ac:dyDescent="0.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17.1796875" customWidth="1"/>
    <col min="13" max="14" width="18.7265625" customWidth="1"/>
    <col min="15" max="15" width="8.54296875" customWidth="1"/>
    <col min="16" max="18" width="18.7265625" customWidth="1"/>
    <col min="19" max="20" width="13.453125" customWidth="1"/>
    <col min="23" max="23" width="12.453125" bestFit="1" customWidth="1"/>
  </cols>
  <sheetData>
    <row r="1" spans="1:23" ht="14" x14ac:dyDescent="0.3">
      <c r="A1" s="539" t="s">
        <v>301</v>
      </c>
      <c r="B1" s="540"/>
      <c r="C1" s="540"/>
      <c r="D1" s="541"/>
      <c r="E1" s="540"/>
      <c r="F1" s="540"/>
      <c r="G1" s="540"/>
      <c r="H1" s="540"/>
      <c r="I1" s="540"/>
      <c r="J1" s="540"/>
      <c r="K1" s="540"/>
    </row>
    <row r="2" spans="1:23" ht="12.75" customHeight="1" x14ac:dyDescent="0.35">
      <c r="A2" s="1702" t="s">
        <v>868</v>
      </c>
      <c r="B2" s="1703"/>
      <c r="C2" s="1703"/>
      <c r="D2" s="1703"/>
      <c r="E2" s="1703"/>
      <c r="F2" s="1703"/>
      <c r="G2" s="1703"/>
      <c r="H2" s="1703"/>
      <c r="I2" s="1703"/>
      <c r="J2" s="1703"/>
      <c r="K2" s="1703"/>
    </row>
    <row r="3" spans="1:23" ht="13" thickBot="1" x14ac:dyDescent="0.3">
      <c r="A3" s="1704"/>
      <c r="B3" s="1704"/>
      <c r="C3" s="1704"/>
      <c r="D3" s="1704"/>
      <c r="E3" s="1704"/>
      <c r="F3" s="1704"/>
      <c r="G3" s="1704"/>
      <c r="H3" s="1704"/>
      <c r="I3" s="1704"/>
      <c r="J3" s="1704"/>
      <c r="K3" s="1704"/>
    </row>
    <row r="4" spans="1:23" ht="14" x14ac:dyDescent="0.3">
      <c r="A4" s="3" t="s">
        <v>302</v>
      </c>
      <c r="B4" s="4"/>
      <c r="C4" s="1705" t="s">
        <v>303</v>
      </c>
      <c r="D4" s="1705"/>
      <c r="E4" s="1705"/>
      <c r="F4" s="5"/>
      <c r="G4" s="1705" t="s">
        <v>304</v>
      </c>
      <c r="H4" s="1705"/>
      <c r="I4" s="1705"/>
      <c r="J4" s="5"/>
      <c r="K4" s="6" t="s">
        <v>305</v>
      </c>
      <c r="O4" s="2" t="s">
        <v>633</v>
      </c>
    </row>
    <row r="5" spans="1:23" ht="13" x14ac:dyDescent="0.3">
      <c r="A5" s="7" t="s">
        <v>869</v>
      </c>
      <c r="B5" s="8"/>
      <c r="C5" s="9" t="s">
        <v>870</v>
      </c>
      <c r="D5" s="9" t="s">
        <v>306</v>
      </c>
      <c r="E5" s="9" t="s">
        <v>307</v>
      </c>
      <c r="F5" s="9"/>
      <c r="G5" s="9" t="s">
        <v>870</v>
      </c>
      <c r="H5" s="9" t="s">
        <v>306</v>
      </c>
      <c r="I5" s="9" t="s">
        <v>307</v>
      </c>
      <c r="J5" s="9"/>
      <c r="K5" s="10" t="s">
        <v>871</v>
      </c>
      <c r="O5" s="1"/>
      <c r="P5" s="1"/>
      <c r="Q5" s="550"/>
      <c r="R5" s="550">
        <v>2005</v>
      </c>
      <c r="S5" s="550">
        <v>2007</v>
      </c>
      <c r="T5" s="550">
        <v>2005</v>
      </c>
      <c r="U5" s="550">
        <v>2007</v>
      </c>
      <c r="V5" s="549"/>
      <c r="W5" s="549"/>
    </row>
    <row r="6" spans="1:23" ht="13" x14ac:dyDescent="0.3">
      <c r="A6" s="15" t="s">
        <v>529</v>
      </c>
      <c r="B6" s="12"/>
      <c r="C6" s="13">
        <v>983</v>
      </c>
      <c r="D6" s="14">
        <f>C6/$K6*453.59</f>
        <v>20267.225909090906</v>
      </c>
      <c r="E6" s="542">
        <f>D6*1.05506/1000*2.2046</f>
        <v>47.141269049911173</v>
      </c>
      <c r="F6" s="13"/>
      <c r="G6" s="13">
        <v>1089</v>
      </c>
      <c r="H6" s="14">
        <f>G6/$K6*453.59</f>
        <v>22452.704999999998</v>
      </c>
      <c r="I6" s="542">
        <f>H6*1.05506/1000*2.2046</f>
        <v>52.224661236371581</v>
      </c>
      <c r="J6" s="13"/>
      <c r="K6" s="543">
        <v>22</v>
      </c>
      <c r="O6" s="1" t="s">
        <v>248</v>
      </c>
      <c r="P6" s="1" t="s">
        <v>1049</v>
      </c>
      <c r="Q6" s="550" t="s">
        <v>637</v>
      </c>
      <c r="R6" s="550" t="s">
        <v>636</v>
      </c>
      <c r="S6" s="550" t="s">
        <v>636</v>
      </c>
      <c r="T6" s="550" t="s">
        <v>1038</v>
      </c>
      <c r="U6" s="550" t="s">
        <v>1038</v>
      </c>
      <c r="V6" s="549"/>
      <c r="W6" s="549"/>
    </row>
    <row r="7" spans="1:23" ht="13" x14ac:dyDescent="0.25">
      <c r="A7" s="15" t="s">
        <v>872</v>
      </c>
      <c r="B7" s="16"/>
      <c r="C7" s="544">
        <v>290</v>
      </c>
      <c r="D7" s="17">
        <f t="shared" ref="D7:D40" si="0">C7/K7*453.59</f>
        <v>51682.028917177428</v>
      </c>
      <c r="E7" s="545">
        <f t="shared" ref="E7:E40" si="1">D7*1.05506/1000*2.2046</f>
        <v>120.21163829516094</v>
      </c>
      <c r="F7" s="18"/>
      <c r="G7" s="19">
        <v>343</v>
      </c>
      <c r="H7" s="17">
        <f t="shared" ref="H7:H40" si="2">G7/$K7*453.59</f>
        <v>61127.365236523648</v>
      </c>
      <c r="I7" s="545">
        <f t="shared" ref="I7:I40" si="3">H7*1.05506/1000*2.2046</f>
        <v>142.1813515008283</v>
      </c>
      <c r="J7" s="18"/>
      <c r="K7" s="546">
        <v>2.5451999999999999</v>
      </c>
      <c r="O7" t="s">
        <v>851</v>
      </c>
      <c r="P7" t="s">
        <v>638</v>
      </c>
      <c r="Q7" s="549">
        <v>930</v>
      </c>
      <c r="R7" s="549">
        <v>1027</v>
      </c>
      <c r="S7" s="549">
        <v>1030</v>
      </c>
      <c r="T7" s="549">
        <f>R7/Q7</f>
        <v>1.1043010752688172</v>
      </c>
      <c r="U7" s="549">
        <f>S7/Q7</f>
        <v>1.10752688172043</v>
      </c>
      <c r="V7" s="549"/>
      <c r="W7" s="549"/>
    </row>
    <row r="8" spans="1:23" ht="13" x14ac:dyDescent="0.25">
      <c r="A8" s="15" t="s">
        <v>873</v>
      </c>
      <c r="B8" s="16"/>
      <c r="C8" s="544">
        <v>1458</v>
      </c>
      <c r="D8" s="17">
        <f t="shared" si="0"/>
        <v>20162.628658536585</v>
      </c>
      <c r="E8" s="542">
        <f t="shared" si="1"/>
        <v>46.897977385211739</v>
      </c>
      <c r="F8" s="18"/>
      <c r="G8" s="19">
        <v>1584</v>
      </c>
      <c r="H8" s="17">
        <f t="shared" si="2"/>
        <v>21905.078048780488</v>
      </c>
      <c r="I8" s="542">
        <f t="shared" si="3"/>
        <v>50.950889011094226</v>
      </c>
      <c r="J8" s="18"/>
      <c r="K8" s="20">
        <v>32.799999999999997</v>
      </c>
      <c r="O8" t="s">
        <v>852</v>
      </c>
      <c r="P8" t="s">
        <v>638</v>
      </c>
      <c r="Q8" s="549">
        <v>930</v>
      </c>
      <c r="R8" s="549">
        <v>1027</v>
      </c>
      <c r="S8" s="549">
        <v>1030</v>
      </c>
      <c r="T8" s="549">
        <f>R8/Q8</f>
        <v>1.1043010752688172</v>
      </c>
      <c r="U8" s="549">
        <f>S8/Q8</f>
        <v>1.10752688172043</v>
      </c>
      <c r="V8" s="549"/>
      <c r="W8" s="549"/>
    </row>
    <row r="9" spans="1:23" ht="13" x14ac:dyDescent="0.25">
      <c r="A9" s="7" t="s">
        <v>308</v>
      </c>
      <c r="B9" s="8"/>
      <c r="C9" s="9" t="s">
        <v>309</v>
      </c>
      <c r="D9" s="9" t="s">
        <v>306</v>
      </c>
      <c r="E9" s="9" t="s">
        <v>307</v>
      </c>
      <c r="F9" s="9"/>
      <c r="G9" s="9" t="s">
        <v>309</v>
      </c>
      <c r="H9" s="9" t="s">
        <v>306</v>
      </c>
      <c r="I9" s="9" t="s">
        <v>307</v>
      </c>
      <c r="J9" s="9"/>
      <c r="K9" s="10" t="s">
        <v>310</v>
      </c>
      <c r="O9" t="s">
        <v>853</v>
      </c>
      <c r="P9" t="s">
        <v>638</v>
      </c>
      <c r="Q9" s="549">
        <v>930</v>
      </c>
      <c r="R9" s="549">
        <v>1027</v>
      </c>
      <c r="S9" s="549">
        <v>1030</v>
      </c>
      <c r="T9" s="549">
        <f>R9/Q9</f>
        <v>1.1043010752688172</v>
      </c>
      <c r="U9" s="549">
        <f>S9/Q9</f>
        <v>1.10752688172043</v>
      </c>
      <c r="V9" s="549"/>
      <c r="W9" s="549"/>
    </row>
    <row r="10" spans="1:23" ht="13" x14ac:dyDescent="0.25">
      <c r="A10" s="11" t="s">
        <v>874</v>
      </c>
      <c r="B10" s="16"/>
      <c r="C10" s="19">
        <v>129670</v>
      </c>
      <c r="D10" s="17">
        <f t="shared" si="0"/>
        <v>18351.642839313572</v>
      </c>
      <c r="E10" s="542">
        <f t="shared" si="1"/>
        <v>42.685651034654214</v>
      </c>
      <c r="F10" s="18"/>
      <c r="G10" s="19">
        <v>138350</v>
      </c>
      <c r="H10" s="17">
        <f t="shared" si="2"/>
        <v>19580.086271450855</v>
      </c>
      <c r="I10" s="542">
        <f t="shared" si="3"/>
        <v>45.542992370204438</v>
      </c>
      <c r="J10" s="18"/>
      <c r="K10" s="21">
        <v>3205</v>
      </c>
      <c r="O10" t="s">
        <v>928</v>
      </c>
      <c r="Q10" s="549"/>
      <c r="R10" s="549"/>
      <c r="S10" s="549"/>
      <c r="T10" s="549">
        <v>1</v>
      </c>
      <c r="U10" s="549">
        <v>1</v>
      </c>
      <c r="V10" s="549"/>
      <c r="W10" s="549"/>
    </row>
    <row r="11" spans="1:23" ht="13" x14ac:dyDescent="0.25">
      <c r="A11" s="11" t="s">
        <v>875</v>
      </c>
      <c r="B11" s="16"/>
      <c r="C11" s="19">
        <v>116090</v>
      </c>
      <c r="D11" s="17">
        <f t="shared" si="0"/>
        <v>18679.412238382403</v>
      </c>
      <c r="E11" s="542">
        <f t="shared" si="1"/>
        <v>43.448037830811678</v>
      </c>
      <c r="F11" s="18"/>
      <c r="G11" s="19">
        <v>124340</v>
      </c>
      <c r="H11" s="17">
        <f t="shared" si="2"/>
        <v>20006.874991131608</v>
      </c>
      <c r="I11" s="542">
        <f t="shared" si="3"/>
        <v>46.535696648144757</v>
      </c>
      <c r="J11" s="18"/>
      <c r="K11" s="21">
        <v>2819</v>
      </c>
      <c r="O11" t="s">
        <v>930</v>
      </c>
      <c r="Q11" s="549"/>
      <c r="R11" s="549"/>
      <c r="S11" s="549"/>
      <c r="T11" s="549">
        <v>1</v>
      </c>
      <c r="U11" s="549">
        <v>1</v>
      </c>
      <c r="V11" s="549"/>
      <c r="W11" s="549"/>
    </row>
    <row r="12" spans="1:23" ht="13" x14ac:dyDescent="0.25">
      <c r="A12" s="11" t="s">
        <v>876</v>
      </c>
      <c r="B12" s="16"/>
      <c r="C12" s="19">
        <v>113601.50975397152</v>
      </c>
      <c r="D12" s="17">
        <f t="shared" si="0"/>
        <v>18210.67343395916</v>
      </c>
      <c r="E12" s="542">
        <f t="shared" si="1"/>
        <v>42.357758273433376</v>
      </c>
      <c r="F12" s="18"/>
      <c r="G12" s="19">
        <v>121848.38036482914</v>
      </c>
      <c r="H12" s="17">
        <f t="shared" si="2"/>
        <v>19532.672304147527</v>
      </c>
      <c r="I12" s="542">
        <f t="shared" si="3"/>
        <v>45.432708180380153</v>
      </c>
      <c r="J12" s="18"/>
      <c r="K12" s="21">
        <v>2829.5773353012783</v>
      </c>
      <c r="O12" t="s">
        <v>854</v>
      </c>
      <c r="P12" t="s">
        <v>639</v>
      </c>
      <c r="Q12" s="551">
        <v>19546300</v>
      </c>
      <c r="R12" s="551">
        <v>20754000</v>
      </c>
      <c r="S12" s="551">
        <v>20231000</v>
      </c>
      <c r="T12" s="549">
        <f>R12/Q12</f>
        <v>1.0617866296946226</v>
      </c>
      <c r="U12" s="549">
        <f>S12/Q12</f>
        <v>1.0350296475547802</v>
      </c>
      <c r="V12" s="549"/>
      <c r="W12" s="549"/>
    </row>
    <row r="13" spans="1:23" ht="13" x14ac:dyDescent="0.25">
      <c r="A13" s="11" t="s">
        <v>877</v>
      </c>
      <c r="B13" s="16"/>
      <c r="C13" s="19">
        <v>113927.15396104372</v>
      </c>
      <c r="D13" s="17">
        <f t="shared" si="0"/>
        <v>18271.813278014368</v>
      </c>
      <c r="E13" s="542">
        <f t="shared" si="1"/>
        <v>42.499968650482714</v>
      </c>
      <c r="F13" s="18"/>
      <c r="G13" s="19">
        <v>122174.43408423416</v>
      </c>
      <c r="H13" s="17">
        <f t="shared" si="2"/>
        <v>19594.524828536756</v>
      </c>
      <c r="I13" s="542">
        <f t="shared" si="3"/>
        <v>45.576576241392928</v>
      </c>
      <c r="J13" s="18"/>
      <c r="K13" s="21">
        <v>2828.193183616288</v>
      </c>
      <c r="O13" t="s">
        <v>911</v>
      </c>
      <c r="P13" t="s">
        <v>640</v>
      </c>
      <c r="Q13" s="551">
        <v>128450</v>
      </c>
      <c r="R13" s="551">
        <f>5825000/42</f>
        <v>138690.47619047618</v>
      </c>
      <c r="S13" s="551">
        <f>5799000/42</f>
        <v>138071.42857142858</v>
      </c>
      <c r="T13" s="549">
        <f>R13/Q13</f>
        <v>1.0797234425105191</v>
      </c>
      <c r="U13" s="549">
        <f>S13/Q13</f>
        <v>1.0749040760718458</v>
      </c>
      <c r="V13" s="549"/>
      <c r="W13" s="549"/>
    </row>
    <row r="14" spans="1:23" ht="13" x14ac:dyDescent="0.25">
      <c r="A14" s="11" t="s">
        <v>878</v>
      </c>
      <c r="B14" s="16"/>
      <c r="C14" s="19">
        <v>128450</v>
      </c>
      <c r="D14" s="17">
        <f t="shared" si="0"/>
        <v>18397.106251973477</v>
      </c>
      <c r="E14" s="542">
        <f t="shared" si="1"/>
        <v>42.791398263097854</v>
      </c>
      <c r="F14" s="18"/>
      <c r="G14" s="19">
        <v>137380</v>
      </c>
      <c r="H14" s="17">
        <f t="shared" si="2"/>
        <v>19676.095421534574</v>
      </c>
      <c r="I14" s="542">
        <f t="shared" si="3"/>
        <v>45.766308239660439</v>
      </c>
      <c r="J14" s="18"/>
      <c r="K14" s="21">
        <v>3167</v>
      </c>
      <c r="O14" t="s">
        <v>909</v>
      </c>
      <c r="P14" t="s">
        <v>640</v>
      </c>
      <c r="Q14" s="551">
        <v>86668</v>
      </c>
      <c r="R14" s="551">
        <v>94706</v>
      </c>
      <c r="S14" s="551">
        <v>94854</v>
      </c>
      <c r="T14" s="549">
        <f>R14/Q14</f>
        <v>1.0927447270041999</v>
      </c>
      <c r="U14" s="549">
        <f>S14/Q14</f>
        <v>1.0944523930401071</v>
      </c>
      <c r="V14" s="549"/>
      <c r="W14" s="549"/>
    </row>
    <row r="15" spans="1:23" ht="13" x14ac:dyDescent="0.25">
      <c r="A15" s="11" t="s">
        <v>528</v>
      </c>
      <c r="B15" s="16"/>
      <c r="C15" s="19">
        <v>129487.84757606639</v>
      </c>
      <c r="D15" s="17">
        <f t="shared" si="0"/>
        <v>18320.147467881456</v>
      </c>
      <c r="E15" s="542">
        <f t="shared" si="1"/>
        <v>42.612393264440954</v>
      </c>
      <c r="F15" s="18"/>
      <c r="G15" s="19">
        <v>138490</v>
      </c>
      <c r="H15" s="17">
        <f t="shared" si="2"/>
        <v>19593.786369307545</v>
      </c>
      <c r="I15" s="542">
        <f t="shared" si="3"/>
        <v>45.574858596098856</v>
      </c>
      <c r="J15" s="18"/>
      <c r="K15" s="21">
        <v>3206</v>
      </c>
      <c r="O15" t="s">
        <v>855</v>
      </c>
      <c r="P15" t="s">
        <v>640</v>
      </c>
      <c r="Q15" s="551"/>
      <c r="R15" s="551"/>
      <c r="S15" s="551"/>
      <c r="T15" s="549">
        <f>$I$19/$E$19</f>
        <v>1.1388646288209607</v>
      </c>
      <c r="U15" s="549">
        <f>$I$19/$E$19</f>
        <v>1.1388646288209607</v>
      </c>
      <c r="V15" s="549"/>
      <c r="W15" s="549"/>
    </row>
    <row r="16" spans="1:23" ht="13" x14ac:dyDescent="0.25">
      <c r="A16" s="11" t="s">
        <v>879</v>
      </c>
      <c r="B16" s="16"/>
      <c r="C16" s="19">
        <v>116920</v>
      </c>
      <c r="D16" s="17">
        <f t="shared" si="0"/>
        <v>19320.124881602911</v>
      </c>
      <c r="E16" s="542">
        <f t="shared" si="1"/>
        <v>44.938326005089621</v>
      </c>
      <c r="F16" s="18"/>
      <c r="G16" s="19">
        <v>125080</v>
      </c>
      <c r="H16" s="17">
        <f t="shared" si="2"/>
        <v>20668.501712204008</v>
      </c>
      <c r="I16" s="542">
        <f t="shared" si="3"/>
        <v>48.074630659567319</v>
      </c>
      <c r="J16" s="18"/>
      <c r="K16" s="22">
        <v>2745</v>
      </c>
      <c r="O16" t="s">
        <v>914</v>
      </c>
      <c r="P16" t="s">
        <v>640</v>
      </c>
      <c r="Q16" s="551">
        <v>116090</v>
      </c>
      <c r="R16" s="551">
        <f>5194000/42</f>
        <v>123666.66666666667</v>
      </c>
      <c r="S16" s="551">
        <f>5218000/42</f>
        <v>124238.09523809524</v>
      </c>
      <c r="T16" s="549">
        <f>R16/Q16</f>
        <v>1.0652654549631033</v>
      </c>
      <c r="U16" s="549">
        <f>S16/Q16</f>
        <v>1.0701877443198831</v>
      </c>
      <c r="V16" s="549"/>
      <c r="W16" s="549"/>
    </row>
    <row r="17" spans="1:23" ht="13" x14ac:dyDescent="0.25">
      <c r="A17" s="11" t="s">
        <v>880</v>
      </c>
      <c r="B17" s="16"/>
      <c r="C17" s="19">
        <v>111520</v>
      </c>
      <c r="D17" s="17">
        <f t="shared" si="0"/>
        <v>19081.236061863448</v>
      </c>
      <c r="E17" s="542">
        <f t="shared" si="1"/>
        <v>44.382674127774621</v>
      </c>
      <c r="F17" s="18"/>
      <c r="G17" s="19">
        <v>119740</v>
      </c>
      <c r="H17" s="17">
        <f t="shared" si="2"/>
        <v>20487.69015465862</v>
      </c>
      <c r="I17" s="542">
        <f t="shared" si="3"/>
        <v>47.654065638986118</v>
      </c>
      <c r="J17" s="18"/>
      <c r="K17" s="21">
        <v>2651</v>
      </c>
      <c r="O17" t="s">
        <v>856</v>
      </c>
      <c r="P17" t="s">
        <v>639</v>
      </c>
      <c r="Q17" s="551">
        <v>16811000</v>
      </c>
      <c r="R17" s="551">
        <v>17200000</v>
      </c>
      <c r="S17" s="551">
        <v>17200000</v>
      </c>
      <c r="T17" s="549">
        <f>R17/Q17</f>
        <v>1.0231396109690083</v>
      </c>
      <c r="U17" s="549">
        <f>S17/Q17</f>
        <v>1.0231396109690083</v>
      </c>
      <c r="V17" s="549"/>
      <c r="W17" s="549"/>
    </row>
    <row r="18" spans="1:23" ht="13" x14ac:dyDescent="0.25">
      <c r="A18" s="11" t="s">
        <v>881</v>
      </c>
      <c r="B18" s="16"/>
      <c r="C18" s="19">
        <v>140352.52220119376</v>
      </c>
      <c r="D18" s="17">
        <f t="shared" si="0"/>
        <v>16967.617416108602</v>
      </c>
      <c r="E18" s="542">
        <f t="shared" si="1"/>
        <v>39.466428278669781</v>
      </c>
      <c r="F18" s="18"/>
      <c r="G18" s="19">
        <v>150110</v>
      </c>
      <c r="H18" s="17">
        <f t="shared" si="2"/>
        <v>18147.226785714287</v>
      </c>
      <c r="I18" s="542">
        <f t="shared" si="3"/>
        <v>42.210182303804245</v>
      </c>
      <c r="J18" s="18"/>
      <c r="K18" s="21">
        <v>3752</v>
      </c>
      <c r="O18" t="s">
        <v>857</v>
      </c>
      <c r="P18" t="s">
        <v>641</v>
      </c>
      <c r="Q18" s="552">
        <v>2.8300000000000001E-3</v>
      </c>
      <c r="R18" s="551"/>
      <c r="S18" s="551"/>
      <c r="T18" s="549">
        <v>1</v>
      </c>
      <c r="U18" s="549">
        <v>1</v>
      </c>
      <c r="V18" s="549"/>
      <c r="W18" s="549"/>
    </row>
    <row r="19" spans="1:23" ht="13" x14ac:dyDescent="0.25">
      <c r="A19" s="11" t="s">
        <v>311</v>
      </c>
      <c r="B19" s="23"/>
      <c r="C19" s="19">
        <v>57250</v>
      </c>
      <c r="D19" s="17">
        <f t="shared" si="0"/>
        <v>8638.7317032601459</v>
      </c>
      <c r="E19" s="542">
        <f t="shared" si="1"/>
        <v>20.093562745097504</v>
      </c>
      <c r="F19" s="18"/>
      <c r="G19" s="19">
        <v>65200</v>
      </c>
      <c r="H19" s="17">
        <f t="shared" si="2"/>
        <v>9838.345974717231</v>
      </c>
      <c r="I19" s="542">
        <f t="shared" si="3"/>
        <v>22.883847877386152</v>
      </c>
      <c r="J19" s="18"/>
      <c r="K19" s="22">
        <v>3006</v>
      </c>
      <c r="Q19" s="549"/>
      <c r="R19" s="549"/>
      <c r="S19" s="549"/>
      <c r="T19" s="549"/>
      <c r="U19" s="549"/>
      <c r="V19" s="549"/>
      <c r="W19" s="549"/>
    </row>
    <row r="20" spans="1:23" ht="13" x14ac:dyDescent="0.25">
      <c r="A20" s="11" t="s">
        <v>312</v>
      </c>
      <c r="B20" s="23"/>
      <c r="C20" s="19">
        <v>76330</v>
      </c>
      <c r="D20" s="17">
        <f t="shared" si="0"/>
        <v>11587.19032797858</v>
      </c>
      <c r="E20" s="542">
        <f t="shared" si="1"/>
        <v>26.95163409308779</v>
      </c>
      <c r="F20" s="18"/>
      <c r="G20" s="19">
        <v>84530</v>
      </c>
      <c r="H20" s="17">
        <f t="shared" si="2"/>
        <v>12831.982161981257</v>
      </c>
      <c r="I20" s="542">
        <f t="shared" si="3"/>
        <v>29.847001570663057</v>
      </c>
      <c r="J20" s="18"/>
      <c r="K20" s="22">
        <v>2988</v>
      </c>
      <c r="Q20" s="549"/>
      <c r="R20" s="549"/>
      <c r="S20" s="549"/>
      <c r="T20" s="549"/>
      <c r="U20" s="549"/>
      <c r="V20" s="549"/>
      <c r="W20" s="549"/>
    </row>
    <row r="21" spans="1:23" ht="13" x14ac:dyDescent="0.25">
      <c r="A21" s="11" t="s">
        <v>966</v>
      </c>
      <c r="B21" s="23"/>
      <c r="C21" s="19">
        <v>99837</v>
      </c>
      <c r="D21" s="17">
        <f t="shared" si="0"/>
        <v>14774.898802610114</v>
      </c>
      <c r="E21" s="542">
        <f t="shared" si="1"/>
        <v>34.366197069261162</v>
      </c>
      <c r="F21" s="18"/>
      <c r="G21" s="19">
        <v>108458</v>
      </c>
      <c r="H21" s="17">
        <f t="shared" si="2"/>
        <v>16050.722420880913</v>
      </c>
      <c r="I21" s="542">
        <f t="shared" si="3"/>
        <v>37.33374402013208</v>
      </c>
      <c r="J21" s="18"/>
      <c r="K21" s="22">
        <v>3065</v>
      </c>
      <c r="Q21" s="549"/>
      <c r="R21" s="549"/>
      <c r="S21" s="549"/>
      <c r="T21" s="549"/>
      <c r="U21" s="549"/>
      <c r="V21" s="549"/>
      <c r="W21" s="549"/>
    </row>
    <row r="22" spans="1:23" ht="13" x14ac:dyDescent="0.25">
      <c r="A22" s="11" t="s">
        <v>967</v>
      </c>
      <c r="B22" s="23"/>
      <c r="C22" s="19">
        <v>83127</v>
      </c>
      <c r="D22" s="17">
        <f t="shared" si="0"/>
        <v>12721.179463562754</v>
      </c>
      <c r="E22" s="542">
        <f t="shared" si="1"/>
        <v>29.589276125600549</v>
      </c>
      <c r="F22" s="18"/>
      <c r="G22" s="19">
        <v>89511</v>
      </c>
      <c r="H22" s="17">
        <f t="shared" si="2"/>
        <v>13698.142540485829</v>
      </c>
      <c r="I22" s="542">
        <f t="shared" si="3"/>
        <v>31.861677857719279</v>
      </c>
      <c r="J22" s="18"/>
      <c r="K22" s="22">
        <v>2964</v>
      </c>
      <c r="Q22" s="549"/>
      <c r="R22" s="549"/>
      <c r="S22" s="549"/>
      <c r="T22" s="549"/>
      <c r="U22" s="549"/>
      <c r="V22" s="549"/>
      <c r="W22" s="549"/>
    </row>
    <row r="23" spans="1:23" ht="13" x14ac:dyDescent="0.25">
      <c r="A23" s="11" t="s">
        <v>882</v>
      </c>
      <c r="B23" s="23"/>
      <c r="C23" s="19">
        <v>116090</v>
      </c>
      <c r="D23" s="17">
        <f t="shared" si="0"/>
        <v>18679.412238382403</v>
      </c>
      <c r="E23" s="542">
        <f t="shared" si="1"/>
        <v>43.448037830811678</v>
      </c>
      <c r="F23" s="18"/>
      <c r="G23" s="19">
        <v>124340</v>
      </c>
      <c r="H23" s="17">
        <f t="shared" si="2"/>
        <v>20006.874991131608</v>
      </c>
      <c r="I23" s="542">
        <f t="shared" si="3"/>
        <v>46.535696648144757</v>
      </c>
      <c r="J23" s="18"/>
      <c r="K23" s="22">
        <v>2819</v>
      </c>
      <c r="Q23" s="549"/>
      <c r="R23" s="549"/>
      <c r="S23" s="549"/>
      <c r="T23" s="549"/>
      <c r="U23" s="549"/>
      <c r="V23" s="549"/>
      <c r="W23" s="549"/>
    </row>
    <row r="24" spans="1:23" ht="13" x14ac:dyDescent="0.25">
      <c r="A24" s="11" t="s">
        <v>883</v>
      </c>
      <c r="B24" s="23"/>
      <c r="C24" s="19">
        <v>84950</v>
      </c>
      <c r="D24" s="17">
        <f t="shared" si="0"/>
        <v>20037.686167446696</v>
      </c>
      <c r="E24" s="542">
        <f t="shared" si="1"/>
        <v>46.607362990589891</v>
      </c>
      <c r="F24" s="18"/>
      <c r="G24" s="19">
        <v>91410</v>
      </c>
      <c r="H24" s="17">
        <f t="shared" si="2"/>
        <v>21561.446645865835</v>
      </c>
      <c r="I24" s="542">
        <f t="shared" si="3"/>
        <v>50.151607427543532</v>
      </c>
      <c r="J24" s="18"/>
      <c r="K24" s="22">
        <v>1923</v>
      </c>
      <c r="Q24" s="549"/>
      <c r="R24" s="549"/>
      <c r="S24" s="549"/>
      <c r="T24" s="549"/>
      <c r="U24" s="549"/>
      <c r="V24" s="549"/>
      <c r="W24" s="549"/>
    </row>
    <row r="25" spans="1:23" ht="13" x14ac:dyDescent="0.25">
      <c r="A25" s="11" t="s">
        <v>884</v>
      </c>
      <c r="B25" s="23"/>
      <c r="C25" s="19">
        <v>74720</v>
      </c>
      <c r="D25" s="17">
        <f t="shared" si="0"/>
        <v>20908.23244910549</v>
      </c>
      <c r="E25" s="542">
        <f t="shared" si="1"/>
        <v>48.632240823804793</v>
      </c>
      <c r="F25" s="18"/>
      <c r="G25" s="19">
        <v>84820</v>
      </c>
      <c r="H25" s="17">
        <f t="shared" si="2"/>
        <v>23734.425539790249</v>
      </c>
      <c r="I25" s="542">
        <f t="shared" si="3"/>
        <v>55.205924339870478</v>
      </c>
      <c r="J25" s="18"/>
      <c r="K25" s="22">
        <v>1621</v>
      </c>
      <c r="Q25" s="549"/>
      <c r="R25" s="549"/>
      <c r="S25" s="549"/>
      <c r="T25" s="549"/>
      <c r="U25" s="549"/>
      <c r="V25" s="549"/>
      <c r="W25" s="549"/>
    </row>
    <row r="26" spans="1:23" ht="13" x14ac:dyDescent="0.25">
      <c r="A26" s="11" t="s">
        <v>885</v>
      </c>
      <c r="B26" s="23"/>
      <c r="C26" s="19">
        <v>68930</v>
      </c>
      <c r="D26" s="17">
        <f t="shared" si="0"/>
        <v>12416.981215250198</v>
      </c>
      <c r="E26" s="542">
        <f t="shared" si="1"/>
        <v>28.881715479040551</v>
      </c>
      <c r="F26" s="18"/>
      <c r="G26" s="19">
        <v>75610</v>
      </c>
      <c r="H26" s="17">
        <f t="shared" si="2"/>
        <v>13620.3097299444</v>
      </c>
      <c r="I26" s="542">
        <f t="shared" si="3"/>
        <v>31.680639886410216</v>
      </c>
      <c r="J26" s="18"/>
      <c r="K26" s="22">
        <v>2518</v>
      </c>
      <c r="Q26" s="549"/>
      <c r="R26" s="549"/>
      <c r="S26" s="549"/>
      <c r="T26" s="549"/>
      <c r="U26" s="549"/>
      <c r="V26" s="549"/>
      <c r="W26" s="549"/>
    </row>
    <row r="27" spans="1:23" ht="13" x14ac:dyDescent="0.25">
      <c r="A27" s="11" t="s">
        <v>886</v>
      </c>
      <c r="B27" s="23"/>
      <c r="C27" s="19">
        <v>72200</v>
      </c>
      <c r="D27" s="17">
        <f t="shared" si="0"/>
        <v>10061.197542242702</v>
      </c>
      <c r="E27" s="542">
        <f t="shared" si="1"/>
        <v>23.402197342183918</v>
      </c>
      <c r="F27" s="18"/>
      <c r="G27" s="19">
        <v>79196.89540113158</v>
      </c>
      <c r="H27" s="17">
        <f t="shared" si="2"/>
        <v>11036.227276497471</v>
      </c>
      <c r="I27" s="542">
        <f t="shared" si="3"/>
        <v>25.670102147722705</v>
      </c>
      <c r="J27" s="18"/>
      <c r="K27" s="22">
        <v>3255</v>
      </c>
      <c r="Q27" s="549"/>
      <c r="R27" s="549"/>
      <c r="S27" s="549"/>
      <c r="T27" s="549"/>
      <c r="U27" s="549"/>
      <c r="V27" s="549"/>
      <c r="W27" s="549"/>
    </row>
    <row r="28" spans="1:23" ht="13" x14ac:dyDescent="0.25">
      <c r="A28" s="11" t="s">
        <v>887</v>
      </c>
      <c r="B28" s="23"/>
      <c r="C28" s="19">
        <v>119550</v>
      </c>
      <c r="D28" s="17">
        <f t="shared" si="0"/>
        <v>16134.09238321928</v>
      </c>
      <c r="E28" s="542">
        <f t="shared" si="1"/>
        <v>37.527661324991804</v>
      </c>
      <c r="F28" s="18"/>
      <c r="G28" s="19">
        <v>127960</v>
      </c>
      <c r="H28" s="17">
        <f t="shared" si="2"/>
        <v>17269.079559654863</v>
      </c>
      <c r="I28" s="542">
        <f t="shared" si="3"/>
        <v>40.167624785829787</v>
      </c>
      <c r="J28" s="18"/>
      <c r="K28" s="22">
        <v>3361</v>
      </c>
      <c r="Q28" s="549"/>
      <c r="R28" s="549"/>
      <c r="S28" s="549"/>
      <c r="T28" s="549"/>
      <c r="U28" s="549"/>
      <c r="V28" s="549"/>
      <c r="W28" s="549"/>
    </row>
    <row r="29" spans="1:23" ht="13" x14ac:dyDescent="0.25">
      <c r="A29" s="11" t="s">
        <v>888</v>
      </c>
      <c r="B29" s="23"/>
      <c r="C29" s="19">
        <v>123670</v>
      </c>
      <c r="D29" s="17">
        <f t="shared" si="0"/>
        <v>18593.130692741131</v>
      </c>
      <c r="E29" s="542">
        <f t="shared" si="1"/>
        <v>43.247348226059557</v>
      </c>
      <c r="F29" s="18"/>
      <c r="G29" s="19">
        <v>130030</v>
      </c>
      <c r="H29" s="17">
        <f t="shared" si="2"/>
        <v>19549.323069274113</v>
      </c>
      <c r="I29" s="542">
        <f t="shared" si="3"/>
        <v>45.471437614898726</v>
      </c>
      <c r="J29" s="18"/>
      <c r="K29" s="22">
        <v>3017</v>
      </c>
      <c r="Q29" s="549"/>
      <c r="R29" s="549"/>
      <c r="S29" s="549"/>
      <c r="T29" s="549"/>
      <c r="U29" s="549"/>
      <c r="V29" s="549"/>
      <c r="W29" s="549"/>
    </row>
    <row r="30" spans="1:23" ht="13" x14ac:dyDescent="0.25">
      <c r="A30" s="11" t="s">
        <v>968</v>
      </c>
      <c r="B30" s="23"/>
      <c r="C30" s="19">
        <v>117059</v>
      </c>
      <c r="D30" s="17">
        <f t="shared" si="0"/>
        <v>18729.027093474426</v>
      </c>
      <c r="E30" s="542">
        <f t="shared" si="1"/>
        <v>43.563441253226593</v>
      </c>
      <c r="F30" s="18"/>
      <c r="G30" s="19">
        <v>125294</v>
      </c>
      <c r="H30" s="17">
        <f t="shared" si="2"/>
        <v>20046.598045855379</v>
      </c>
      <c r="I30" s="542">
        <f t="shared" si="3"/>
        <v>46.628091888549989</v>
      </c>
      <c r="J30" s="18"/>
      <c r="K30" s="22">
        <v>2835</v>
      </c>
      <c r="Q30" s="549"/>
      <c r="R30" s="549"/>
      <c r="S30" s="549"/>
      <c r="T30" s="549"/>
      <c r="U30" s="549"/>
      <c r="V30" s="549"/>
      <c r="W30" s="549"/>
    </row>
    <row r="31" spans="1:23" ht="13" x14ac:dyDescent="0.25">
      <c r="A31" s="11" t="s">
        <v>969</v>
      </c>
      <c r="B31" s="23"/>
      <c r="C31" s="19">
        <v>122887</v>
      </c>
      <c r="D31" s="17">
        <f t="shared" si="0"/>
        <v>18907.840681818183</v>
      </c>
      <c r="E31" s="542">
        <f t="shared" si="1"/>
        <v>43.979359026862895</v>
      </c>
      <c r="F31" s="18"/>
      <c r="G31" s="19">
        <v>130817</v>
      </c>
      <c r="H31" s="17">
        <f t="shared" si="2"/>
        <v>20127.979318181817</v>
      </c>
      <c r="I31" s="542">
        <f t="shared" si="3"/>
        <v>46.817383529723436</v>
      </c>
      <c r="J31" s="18"/>
      <c r="K31" s="22">
        <v>2948</v>
      </c>
      <c r="Q31" s="549"/>
      <c r="R31" s="549"/>
      <c r="S31" s="549"/>
      <c r="T31" s="549"/>
      <c r="U31" s="549"/>
      <c r="V31" s="549"/>
      <c r="W31" s="549"/>
    </row>
    <row r="32" spans="1:23" ht="13" x14ac:dyDescent="0.25">
      <c r="A32" s="11" t="s">
        <v>970</v>
      </c>
      <c r="B32" s="23"/>
      <c r="C32" s="19">
        <v>115983</v>
      </c>
      <c r="D32" s="17">
        <f t="shared" si="0"/>
        <v>18589.656879858656</v>
      </c>
      <c r="E32" s="542">
        <f t="shared" si="1"/>
        <v>43.23926818844334</v>
      </c>
      <c r="F32" s="18"/>
      <c r="G32" s="19">
        <v>124230</v>
      </c>
      <c r="H32" s="17">
        <f t="shared" si="2"/>
        <v>19911.479045936394</v>
      </c>
      <c r="I32" s="542">
        <f t="shared" si="3"/>
        <v>46.313807084230582</v>
      </c>
      <c r="J32" s="18"/>
      <c r="K32" s="22">
        <v>2830</v>
      </c>
      <c r="Q32" s="549"/>
      <c r="R32" s="549"/>
      <c r="S32" s="549"/>
      <c r="T32" s="549"/>
      <c r="U32" s="549"/>
      <c r="V32" s="549"/>
      <c r="W32" s="549"/>
    </row>
    <row r="33" spans="1:23" ht="13" x14ac:dyDescent="0.25">
      <c r="A33" s="11" t="s">
        <v>889</v>
      </c>
      <c r="B33" s="23"/>
      <c r="C33" s="19">
        <v>30500</v>
      </c>
      <c r="D33" s="17">
        <f t="shared" si="0"/>
        <v>51621.249999999993</v>
      </c>
      <c r="E33" s="545">
        <f t="shared" si="1"/>
        <v>120.070267428715</v>
      </c>
      <c r="F33" s="18"/>
      <c r="G33" s="19">
        <v>36020</v>
      </c>
      <c r="H33" s="17">
        <f t="shared" si="2"/>
        <v>60963.849999999991</v>
      </c>
      <c r="I33" s="545">
        <f t="shared" si="3"/>
        <v>141.80101746827262</v>
      </c>
      <c r="J33" s="18"/>
      <c r="K33" s="22">
        <v>268</v>
      </c>
      <c r="Q33" s="549"/>
      <c r="R33" s="549"/>
      <c r="S33" s="549"/>
      <c r="T33" s="549"/>
      <c r="U33" s="549"/>
      <c r="V33" s="549"/>
      <c r="W33" s="549"/>
    </row>
    <row r="34" spans="1:23" ht="13" x14ac:dyDescent="0.25">
      <c r="A34" s="11" t="s">
        <v>890</v>
      </c>
      <c r="B34" s="23"/>
      <c r="C34" s="19">
        <v>93540</v>
      </c>
      <c r="D34" s="17">
        <f t="shared" si="0"/>
        <v>15093.848665955175</v>
      </c>
      <c r="E34" s="542">
        <f t="shared" si="1"/>
        <v>35.108069755183983</v>
      </c>
      <c r="F34" s="18"/>
      <c r="G34" s="19">
        <v>101130</v>
      </c>
      <c r="H34" s="17">
        <f t="shared" si="2"/>
        <v>16318.59007470651</v>
      </c>
      <c r="I34" s="542">
        <f t="shared" si="3"/>
        <v>37.95680023884708</v>
      </c>
      <c r="J34" s="18"/>
      <c r="K34" s="22">
        <v>2811</v>
      </c>
      <c r="Q34" s="549"/>
      <c r="R34" s="549"/>
      <c r="S34" s="549"/>
      <c r="T34" s="549"/>
      <c r="U34" s="549"/>
      <c r="V34" s="549"/>
      <c r="W34" s="549"/>
    </row>
    <row r="35" spans="1:23" ht="13" x14ac:dyDescent="0.25">
      <c r="A35" s="11" t="s">
        <v>891</v>
      </c>
      <c r="B35" s="16"/>
      <c r="C35" s="19">
        <v>96720</v>
      </c>
      <c r="D35" s="17">
        <f t="shared" si="0"/>
        <v>15612.535516014234</v>
      </c>
      <c r="E35" s="542">
        <f t="shared" si="1"/>
        <v>36.314527731276172</v>
      </c>
      <c r="F35" s="18"/>
      <c r="G35" s="19">
        <v>104530</v>
      </c>
      <c r="H35" s="17">
        <f t="shared" si="2"/>
        <v>16873.225160142349</v>
      </c>
      <c r="I35" s="542">
        <f t="shared" si="3"/>
        <v>39.246873281123854</v>
      </c>
      <c r="J35" s="18"/>
      <c r="K35" s="21">
        <v>2810</v>
      </c>
      <c r="Q35" s="549"/>
      <c r="R35" s="549"/>
      <c r="S35" s="549"/>
      <c r="T35" s="549"/>
      <c r="U35" s="549"/>
      <c r="V35" s="549"/>
      <c r="W35" s="549"/>
    </row>
    <row r="36" spans="1:23" ht="13" x14ac:dyDescent="0.25">
      <c r="A36" s="11" t="s">
        <v>892</v>
      </c>
      <c r="B36" s="16"/>
      <c r="C36" s="19">
        <v>100480</v>
      </c>
      <c r="D36" s="17">
        <f t="shared" si="0"/>
        <v>15645.974322004806</v>
      </c>
      <c r="E36" s="542">
        <f t="shared" si="1"/>
        <v>36.392305901657274</v>
      </c>
      <c r="F36" s="18"/>
      <c r="G36" s="19">
        <v>108570</v>
      </c>
      <c r="H36" s="17">
        <f t="shared" si="2"/>
        <v>16905.687023686918</v>
      </c>
      <c r="I36" s="542">
        <f t="shared" si="3"/>
        <v>39.322379097760042</v>
      </c>
      <c r="J36" s="18"/>
      <c r="K36" s="21">
        <v>2913</v>
      </c>
      <c r="Q36" s="549"/>
      <c r="R36" s="549"/>
      <c r="S36" s="549"/>
      <c r="T36" s="549"/>
      <c r="U36" s="549"/>
      <c r="V36" s="549"/>
      <c r="W36" s="549"/>
    </row>
    <row r="37" spans="1:23" ht="13" x14ac:dyDescent="0.25">
      <c r="A37" s="11" t="s">
        <v>893</v>
      </c>
      <c r="B37" s="16"/>
      <c r="C37" s="19">
        <v>94970</v>
      </c>
      <c r="D37" s="17">
        <f t="shared" si="0"/>
        <v>19465.631405332126</v>
      </c>
      <c r="E37" s="542">
        <f t="shared" si="1"/>
        <v>45.27677203684572</v>
      </c>
      <c r="F37" s="18"/>
      <c r="G37" s="19">
        <v>103220</v>
      </c>
      <c r="H37" s="17">
        <f t="shared" si="2"/>
        <v>21156.601807501127</v>
      </c>
      <c r="I37" s="542">
        <f t="shared" si="3"/>
        <v>49.209944294442614</v>
      </c>
      <c r="J37" s="18"/>
      <c r="K37" s="21">
        <v>2213</v>
      </c>
      <c r="Q37" s="549"/>
      <c r="R37" s="549"/>
      <c r="S37" s="549"/>
      <c r="T37" s="549"/>
      <c r="U37" s="549"/>
      <c r="V37" s="549"/>
      <c r="W37" s="549"/>
    </row>
    <row r="38" spans="1:23" ht="13" x14ac:dyDescent="0.25">
      <c r="A38" s="11" t="s">
        <v>894</v>
      </c>
      <c r="B38" s="16"/>
      <c r="C38" s="19">
        <v>90060</v>
      </c>
      <c r="D38" s="17">
        <f t="shared" si="0"/>
        <v>19287.212181303115</v>
      </c>
      <c r="E38" s="542">
        <f t="shared" si="1"/>
        <v>44.861771548798892</v>
      </c>
      <c r="F38" s="18"/>
      <c r="G38" s="19">
        <v>98560</v>
      </c>
      <c r="H38" s="17">
        <f t="shared" si="2"/>
        <v>21107.568649669498</v>
      </c>
      <c r="I38" s="542">
        <f t="shared" si="3"/>
        <v>49.095893891290459</v>
      </c>
      <c r="J38" s="18"/>
      <c r="K38" s="21">
        <v>2118</v>
      </c>
      <c r="Q38" s="549"/>
      <c r="R38" s="549"/>
      <c r="S38" s="549"/>
      <c r="T38" s="549"/>
      <c r="U38" s="549"/>
      <c r="V38" s="549"/>
      <c r="W38" s="549"/>
    </row>
    <row r="39" spans="1:23" ht="13" x14ac:dyDescent="0.25">
      <c r="A39" s="11" t="s">
        <v>895</v>
      </c>
      <c r="B39" s="16"/>
      <c r="C39" s="19">
        <v>95720</v>
      </c>
      <c r="D39" s="17">
        <f t="shared" si="0"/>
        <v>19271.031868619615</v>
      </c>
      <c r="E39" s="542">
        <f t="shared" si="1"/>
        <v>44.824136379735997</v>
      </c>
      <c r="F39" s="18"/>
      <c r="G39" s="19">
        <v>103010</v>
      </c>
      <c r="H39" s="17">
        <f t="shared" si="2"/>
        <v>20738.706569019083</v>
      </c>
      <c r="I39" s="542">
        <f t="shared" si="3"/>
        <v>48.237926122822877</v>
      </c>
      <c r="J39" s="18"/>
      <c r="K39" s="21">
        <v>2253</v>
      </c>
      <c r="Q39" s="549"/>
      <c r="R39" s="549"/>
      <c r="S39" s="549"/>
      <c r="T39" s="549"/>
      <c r="U39" s="549"/>
      <c r="V39" s="549"/>
      <c r="W39" s="549"/>
    </row>
    <row r="40" spans="1:23" ht="13" x14ac:dyDescent="0.25">
      <c r="A40" s="11" t="s">
        <v>313</v>
      </c>
      <c r="B40" s="16"/>
      <c r="C40" s="19">
        <v>84250</v>
      </c>
      <c r="D40" s="17">
        <f t="shared" si="0"/>
        <v>19903.623697916668</v>
      </c>
      <c r="E40" s="542">
        <f t="shared" si="1"/>
        <v>46.295535660398848</v>
      </c>
      <c r="F40" s="18"/>
      <c r="G40" s="19">
        <v>91420</v>
      </c>
      <c r="H40" s="17">
        <f t="shared" si="2"/>
        <v>21597.498854166668</v>
      </c>
      <c r="I40" s="542">
        <f t="shared" si="3"/>
        <v>50.235464333218552</v>
      </c>
      <c r="J40" s="18"/>
      <c r="K40" s="21">
        <v>1920</v>
      </c>
      <c r="Q40" s="549"/>
      <c r="R40" s="549"/>
      <c r="S40" s="549"/>
      <c r="T40" s="549"/>
      <c r="U40" s="549"/>
      <c r="V40" s="549"/>
      <c r="W40" s="549"/>
    </row>
    <row r="41" spans="1:23" ht="13" x14ac:dyDescent="0.25">
      <c r="A41" s="7" t="s">
        <v>314</v>
      </c>
      <c r="B41" s="8"/>
      <c r="C41" s="9" t="s">
        <v>315</v>
      </c>
      <c r="D41" s="9" t="s">
        <v>316</v>
      </c>
      <c r="E41" s="9" t="s">
        <v>307</v>
      </c>
      <c r="F41" s="9"/>
      <c r="G41" s="9" t="s">
        <v>315</v>
      </c>
      <c r="H41" s="9" t="s">
        <v>316</v>
      </c>
      <c r="I41" s="9" t="s">
        <v>307</v>
      </c>
      <c r="J41" s="9"/>
      <c r="K41" s="10"/>
      <c r="Q41" s="549"/>
      <c r="R41" s="549"/>
      <c r="S41" s="549"/>
      <c r="T41" s="549"/>
      <c r="U41" s="549"/>
      <c r="V41" s="549"/>
      <c r="W41" s="549"/>
    </row>
    <row r="42" spans="1:23" ht="13" x14ac:dyDescent="0.25">
      <c r="A42" s="15" t="s">
        <v>896</v>
      </c>
      <c r="B42" s="16"/>
      <c r="C42" s="24">
        <v>19546300</v>
      </c>
      <c r="D42" s="17">
        <f t="shared" ref="D42:D50" si="4">C42/2000</f>
        <v>9773.15</v>
      </c>
      <c r="E42" s="542">
        <f t="shared" ref="E42:E50" si="5">D42*1.05506/1000*2.2046</f>
        <v>22.7322030001394</v>
      </c>
      <c r="F42" s="18"/>
      <c r="G42" s="19">
        <v>20608570</v>
      </c>
      <c r="H42" s="17">
        <f>G42/2000</f>
        <v>10304.285</v>
      </c>
      <c r="I42" s="542">
        <f t="shared" ref="I42:I50" si="6">H42*1.05506/1000*2.2046</f>
        <v>23.967615189707661</v>
      </c>
      <c r="J42" s="18"/>
      <c r="K42" s="22"/>
      <c r="Q42" s="549"/>
      <c r="R42" s="549"/>
      <c r="S42" s="549"/>
      <c r="T42" s="549"/>
      <c r="U42" s="549"/>
      <c r="V42" s="549"/>
      <c r="W42" s="549"/>
    </row>
    <row r="43" spans="1:23" ht="13" x14ac:dyDescent="0.25">
      <c r="A43" s="15" t="s">
        <v>897</v>
      </c>
      <c r="B43" s="16"/>
      <c r="C43" s="24">
        <v>22460600</v>
      </c>
      <c r="D43" s="17">
        <f t="shared" si="4"/>
        <v>11230.3</v>
      </c>
      <c r="E43" s="542">
        <f t="shared" si="5"/>
        <v>26.121512445062798</v>
      </c>
      <c r="F43" s="18"/>
      <c r="G43" s="19">
        <v>23445900</v>
      </c>
      <c r="H43" s="17">
        <f t="shared" ref="H43:H50" si="7">G43/2000</f>
        <v>11722.95</v>
      </c>
      <c r="I43" s="542">
        <f t="shared" si="6"/>
        <v>27.267409091284208</v>
      </c>
      <c r="J43" s="18"/>
      <c r="K43" s="22"/>
      <c r="Q43" s="549"/>
      <c r="R43" s="549"/>
      <c r="S43" s="549"/>
      <c r="T43" s="549"/>
      <c r="U43" s="549"/>
      <c r="V43" s="549"/>
      <c r="W43" s="549"/>
    </row>
    <row r="44" spans="1:23" ht="13" x14ac:dyDescent="0.25">
      <c r="A44" s="11" t="s">
        <v>898</v>
      </c>
      <c r="B44" s="12"/>
      <c r="C44" s="24">
        <v>24600497.144575384</v>
      </c>
      <c r="D44" s="17">
        <f t="shared" si="4"/>
        <v>12300.248572287692</v>
      </c>
      <c r="E44" s="542">
        <f t="shared" si="5"/>
        <v>28.610197070281195</v>
      </c>
      <c r="F44" s="18"/>
      <c r="G44" s="19">
        <v>25679670</v>
      </c>
      <c r="H44" s="17">
        <f t="shared" si="7"/>
        <v>12839.834999999999</v>
      </c>
      <c r="I44" s="542">
        <f t="shared" si="6"/>
        <v>29.865267156269461</v>
      </c>
      <c r="J44" s="18"/>
      <c r="K44" s="22"/>
    </row>
    <row r="45" spans="1:23" ht="13" x14ac:dyDescent="0.25">
      <c r="A45" s="15" t="s">
        <v>899</v>
      </c>
      <c r="B45" s="16"/>
      <c r="C45" s="24">
        <v>16811000</v>
      </c>
      <c r="D45" s="17">
        <f t="shared" si="4"/>
        <v>8405.5</v>
      </c>
      <c r="E45" s="542">
        <f t="shared" si="5"/>
        <v>19.551069237418005</v>
      </c>
      <c r="F45" s="18"/>
      <c r="G45" s="19">
        <v>17703170</v>
      </c>
      <c r="H45" s="17">
        <f t="shared" si="7"/>
        <v>8851.5849999999991</v>
      </c>
      <c r="I45" s="542">
        <f t="shared" si="6"/>
        <v>20.588656379262464</v>
      </c>
      <c r="J45" s="18"/>
      <c r="K45" s="22"/>
    </row>
    <row r="46" spans="1:23" ht="13" x14ac:dyDescent="0.25">
      <c r="A46" s="15" t="s">
        <v>900</v>
      </c>
      <c r="B46" s="16"/>
      <c r="C46" s="24">
        <v>14797554.763920812</v>
      </c>
      <c r="D46" s="17">
        <f t="shared" si="4"/>
        <v>7398.7773819604063</v>
      </c>
      <c r="E46" s="542">
        <f t="shared" si="5"/>
        <v>17.209447250841734</v>
      </c>
      <c r="F46" s="18"/>
      <c r="G46" s="19">
        <v>15582870</v>
      </c>
      <c r="H46" s="17">
        <f t="shared" si="7"/>
        <v>7791.4350000000004</v>
      </c>
      <c r="I46" s="542">
        <f t="shared" si="6"/>
        <v>18.122763088911064</v>
      </c>
      <c r="J46" s="18"/>
      <c r="K46" s="22"/>
    </row>
    <row r="47" spans="1:23" ht="13" x14ac:dyDescent="0.25">
      <c r="A47" s="15" t="s">
        <v>901</v>
      </c>
      <c r="B47" s="16"/>
      <c r="C47" s="24">
        <v>14075990</v>
      </c>
      <c r="D47" s="17">
        <f t="shared" si="4"/>
        <v>7037.9949999999999</v>
      </c>
      <c r="E47" s="542">
        <f t="shared" si="5"/>
        <v>16.370272742561625</v>
      </c>
      <c r="F47" s="18"/>
      <c r="G47" s="19">
        <v>14974460</v>
      </c>
      <c r="H47" s="17">
        <f t="shared" si="7"/>
        <v>7487.23</v>
      </c>
      <c r="I47" s="542">
        <f t="shared" si="6"/>
        <v>17.415186738025483</v>
      </c>
      <c r="J47" s="18"/>
      <c r="K47" s="22"/>
    </row>
    <row r="48" spans="1:23" ht="13" x14ac:dyDescent="0.25">
      <c r="A48" s="15" t="s">
        <v>902</v>
      </c>
      <c r="B48" s="16"/>
      <c r="C48" s="24">
        <v>13243490</v>
      </c>
      <c r="D48" s="17">
        <f t="shared" si="4"/>
        <v>6621.7449999999999</v>
      </c>
      <c r="E48" s="542">
        <f t="shared" si="5"/>
        <v>15.40208137142662</v>
      </c>
      <c r="F48" s="18"/>
      <c r="G48" s="19">
        <v>14164160</v>
      </c>
      <c r="H48" s="17">
        <f t="shared" si="7"/>
        <v>7082.08</v>
      </c>
      <c r="I48" s="542">
        <f t="shared" si="6"/>
        <v>16.472813803454081</v>
      </c>
      <c r="J48" s="18"/>
      <c r="K48" s="22"/>
    </row>
    <row r="49" spans="1:11" ht="13" x14ac:dyDescent="0.25">
      <c r="A49" s="15" t="s">
        <v>971</v>
      </c>
      <c r="B49" s="16"/>
      <c r="C49" s="24">
        <v>12947318</v>
      </c>
      <c r="D49" s="17">
        <f t="shared" si="4"/>
        <v>6473.6589999999997</v>
      </c>
      <c r="E49" s="542">
        <f t="shared" si="5"/>
        <v>15.057635515844886</v>
      </c>
      <c r="F49" s="18"/>
      <c r="G49" s="19">
        <v>14062678</v>
      </c>
      <c r="H49" s="17">
        <f t="shared" si="7"/>
        <v>7031.3389999999999</v>
      </c>
      <c r="I49" s="542">
        <f t="shared" si="6"/>
        <v>16.354790984564566</v>
      </c>
      <c r="J49" s="18"/>
      <c r="K49" s="22"/>
    </row>
    <row r="50" spans="1:11" ht="13" x14ac:dyDescent="0.25">
      <c r="A50" s="15" t="s">
        <v>972</v>
      </c>
      <c r="B50" s="16"/>
      <c r="C50" s="24">
        <v>25370000</v>
      </c>
      <c r="D50" s="17">
        <f t="shared" si="4"/>
        <v>12685</v>
      </c>
      <c r="E50" s="542">
        <f t="shared" si="5"/>
        <v>29.505123226060004</v>
      </c>
      <c r="F50" s="18"/>
      <c r="G50" s="19">
        <v>26920000</v>
      </c>
      <c r="H50" s="17">
        <f t="shared" si="7"/>
        <v>13460</v>
      </c>
      <c r="I50" s="542">
        <f t="shared" si="6"/>
        <v>31.307761814960006</v>
      </c>
      <c r="J50" s="18"/>
      <c r="K50" s="22"/>
    </row>
    <row r="51" spans="1:11" ht="13" x14ac:dyDescent="0.25">
      <c r="A51" s="1699" t="s">
        <v>317</v>
      </c>
      <c r="B51" s="1700"/>
      <c r="C51" s="1700"/>
      <c r="D51" s="1700"/>
      <c r="E51" s="1700"/>
      <c r="F51" s="1700"/>
      <c r="G51" s="1700"/>
      <c r="H51" s="1700"/>
      <c r="I51" s="1700"/>
      <c r="J51" s="1700"/>
      <c r="K51" s="1701"/>
    </row>
    <row r="52" spans="1:11" x14ac:dyDescent="0.25">
      <c r="A52" s="1696" t="s">
        <v>903</v>
      </c>
      <c r="B52" s="1697"/>
      <c r="C52" s="1697"/>
      <c r="D52" s="1697"/>
      <c r="E52" s="1697"/>
      <c r="F52" s="1697"/>
      <c r="G52" s="1697"/>
      <c r="H52" s="1697"/>
      <c r="I52" s="1697"/>
      <c r="J52" s="1697"/>
      <c r="K52" s="1698"/>
    </row>
    <row r="53" spans="1:11" x14ac:dyDescent="0.25">
      <c r="A53" s="1685" t="s">
        <v>904</v>
      </c>
      <c r="B53" s="1686"/>
      <c r="C53" s="1686"/>
      <c r="D53" s="1686"/>
      <c r="E53" s="1686"/>
      <c r="F53" s="1686"/>
      <c r="G53" s="1686"/>
      <c r="H53" s="1686"/>
      <c r="I53" s="1686"/>
      <c r="J53" s="1686"/>
      <c r="K53" s="1687"/>
    </row>
    <row r="54" spans="1:11" x14ac:dyDescent="0.25">
      <c r="A54" s="1685" t="s">
        <v>905</v>
      </c>
      <c r="B54" s="1686"/>
      <c r="C54" s="1686"/>
      <c r="D54" s="1686"/>
      <c r="E54" s="1686"/>
      <c r="F54" s="1686"/>
      <c r="G54" s="1686"/>
      <c r="H54" s="1686"/>
      <c r="I54" s="1686"/>
      <c r="J54" s="1686"/>
      <c r="K54" s="1687"/>
    </row>
    <row r="55" spans="1:11" x14ac:dyDescent="0.25">
      <c r="A55" s="1685" t="s">
        <v>906</v>
      </c>
      <c r="B55" s="1686"/>
      <c r="C55" s="1686"/>
      <c r="D55" s="1686"/>
      <c r="E55" s="1686"/>
      <c r="F55" s="1686"/>
      <c r="G55" s="1686"/>
      <c r="H55" s="1686"/>
      <c r="I55" s="1686"/>
      <c r="J55" s="1686"/>
      <c r="K55" s="1687"/>
    </row>
    <row r="56" spans="1:11" x14ac:dyDescent="0.25">
      <c r="A56" s="1706" t="s">
        <v>318</v>
      </c>
      <c r="B56" s="1707"/>
      <c r="C56" s="1707"/>
      <c r="D56" s="1707"/>
      <c r="E56" s="1707"/>
      <c r="F56" s="1707"/>
      <c r="G56" s="1707"/>
      <c r="H56" s="1707"/>
      <c r="I56" s="1707"/>
      <c r="J56" s="1707"/>
      <c r="K56" s="1708"/>
    </row>
    <row r="57" spans="1:11" x14ac:dyDescent="0.25">
      <c r="A57" s="1685" t="s">
        <v>319</v>
      </c>
      <c r="B57" s="1686"/>
      <c r="C57" s="1686"/>
      <c r="D57" s="1686"/>
      <c r="E57" s="1686"/>
      <c r="F57" s="1686"/>
      <c r="G57" s="1686"/>
      <c r="H57" s="1686"/>
      <c r="I57" s="1686"/>
      <c r="J57" s="1686"/>
      <c r="K57" s="1687"/>
    </row>
    <row r="58" spans="1:11" x14ac:dyDescent="0.25">
      <c r="A58" s="1685" t="s">
        <v>907</v>
      </c>
      <c r="B58" s="1686"/>
      <c r="C58" s="1686"/>
      <c r="D58" s="1686"/>
      <c r="E58" s="1686"/>
      <c r="F58" s="1686"/>
      <c r="G58" s="1686"/>
      <c r="H58" s="1686"/>
      <c r="I58" s="1686"/>
      <c r="J58" s="1686"/>
      <c r="K58" s="1687"/>
    </row>
    <row r="59" spans="1:11" x14ac:dyDescent="0.25">
      <c r="A59" s="1685" t="s">
        <v>908</v>
      </c>
      <c r="B59" s="1686"/>
      <c r="C59" s="1686"/>
      <c r="D59" s="1686"/>
      <c r="E59" s="1686"/>
      <c r="F59" s="1686"/>
      <c r="G59" s="1686"/>
      <c r="H59" s="1686"/>
      <c r="I59" s="1686"/>
      <c r="J59" s="1686"/>
      <c r="K59" s="1687"/>
    </row>
    <row r="60" spans="1:11" x14ac:dyDescent="0.25">
      <c r="A60" s="25"/>
      <c r="B60" s="26"/>
      <c r="C60" s="26"/>
      <c r="D60" s="26"/>
      <c r="E60" s="26"/>
      <c r="F60" s="26"/>
      <c r="G60" s="26"/>
      <c r="H60" s="26"/>
      <c r="I60" s="26"/>
      <c r="J60" s="26"/>
      <c r="K60" s="27"/>
    </row>
    <row r="61" spans="1:11" x14ac:dyDescent="0.25">
      <c r="A61" s="1685" t="s">
        <v>320</v>
      </c>
      <c r="B61" s="1686"/>
      <c r="C61" s="1686"/>
      <c r="D61" s="1686"/>
      <c r="E61" s="1686"/>
      <c r="F61" s="1686"/>
      <c r="G61" s="1686"/>
      <c r="H61" s="1686"/>
      <c r="I61" s="1686"/>
      <c r="J61" s="1686"/>
      <c r="K61" s="1687"/>
    </row>
    <row r="62" spans="1:11" ht="13" thickBot="1" x14ac:dyDescent="0.3">
      <c r="A62" s="1691" t="s">
        <v>973</v>
      </c>
      <c r="B62" s="1692"/>
      <c r="C62" s="1692"/>
      <c r="D62" s="1692"/>
      <c r="E62" s="1692"/>
      <c r="F62" s="1692"/>
      <c r="G62" s="1692"/>
      <c r="H62" s="1692"/>
      <c r="I62" s="1692"/>
      <c r="J62" s="1692"/>
      <c r="K62" s="1693"/>
    </row>
    <row r="63" spans="1:11" x14ac:dyDescent="0.25">
      <c r="A63" s="537"/>
      <c r="B63" s="538"/>
      <c r="C63" s="538"/>
      <c r="D63" s="538"/>
      <c r="E63" s="538"/>
      <c r="F63" s="538"/>
      <c r="G63" s="538"/>
      <c r="H63" s="538"/>
      <c r="I63" s="538"/>
      <c r="J63" s="538"/>
      <c r="K63" s="538"/>
    </row>
    <row r="64" spans="1:11" x14ac:dyDescent="0.25">
      <c r="A64" s="537"/>
      <c r="B64" s="538"/>
      <c r="C64" s="538"/>
      <c r="D64" s="538"/>
      <c r="E64" s="538"/>
      <c r="F64" s="538"/>
      <c r="G64" s="538"/>
      <c r="H64" s="538"/>
      <c r="I64" s="538"/>
      <c r="J64" s="538"/>
      <c r="K64" s="538"/>
    </row>
    <row r="65" spans="1:14" x14ac:dyDescent="0.25">
      <c r="A65" s="537"/>
      <c r="B65" s="538"/>
      <c r="C65" s="538"/>
      <c r="D65" s="538"/>
      <c r="E65" s="538"/>
      <c r="F65" s="538"/>
      <c r="G65" s="538"/>
      <c r="H65" s="538"/>
      <c r="I65" s="538"/>
      <c r="J65" s="538"/>
      <c r="K65" s="538"/>
    </row>
    <row r="66" spans="1:14" x14ac:dyDescent="0.25">
      <c r="A66" s="537"/>
      <c r="B66" s="538"/>
      <c r="C66" s="538"/>
      <c r="D66" s="538"/>
      <c r="E66" s="538"/>
      <c r="F66" s="538"/>
      <c r="G66" s="538"/>
      <c r="H66" s="538"/>
      <c r="I66" s="538"/>
      <c r="J66" s="538"/>
      <c r="K66" s="538"/>
    </row>
    <row r="68" spans="1:14" ht="13" thickBot="1" x14ac:dyDescent="0.3"/>
    <row r="69" spans="1:14" ht="43.5" customHeight="1" thickTop="1" thickBot="1" x14ac:dyDescent="0.3">
      <c r="A69" s="371" t="s">
        <v>1083</v>
      </c>
      <c r="B69" s="372"/>
      <c r="C69" s="372"/>
      <c r="D69" s="372"/>
      <c r="E69" s="372"/>
      <c r="F69" s="372"/>
      <c r="G69" s="372"/>
      <c r="H69" s="372"/>
      <c r="I69" s="372"/>
      <c r="J69" s="372"/>
      <c r="K69" s="373"/>
      <c r="L69" s="373"/>
      <c r="M69" s="634"/>
      <c r="N69" s="635"/>
    </row>
    <row r="70" spans="1:14" ht="56.5" thickTop="1" x14ac:dyDescent="0.25">
      <c r="A70" s="636" t="s">
        <v>1090</v>
      </c>
      <c r="B70" s="637" t="s">
        <v>1031</v>
      </c>
      <c r="C70" s="638" t="s">
        <v>1040</v>
      </c>
      <c r="D70" s="638" t="s">
        <v>1041</v>
      </c>
      <c r="E70" s="637" t="s">
        <v>190</v>
      </c>
      <c r="F70" s="637" t="s">
        <v>1039</v>
      </c>
      <c r="G70" s="639" t="s">
        <v>1038</v>
      </c>
      <c r="H70" s="640" t="s">
        <v>267</v>
      </c>
      <c r="I70" s="637" t="s">
        <v>703</v>
      </c>
      <c r="J70" s="637" t="s">
        <v>1056</v>
      </c>
      <c r="K70" s="641" t="s">
        <v>702</v>
      </c>
      <c r="L70" s="641" t="s">
        <v>931</v>
      </c>
      <c r="M70" s="642" t="s">
        <v>533</v>
      </c>
      <c r="N70" s="643" t="s">
        <v>534</v>
      </c>
    </row>
    <row r="71" spans="1:14" ht="37.5" x14ac:dyDescent="0.25">
      <c r="A71" s="893" t="s">
        <v>1085</v>
      </c>
      <c r="B71" s="648" t="s">
        <v>865</v>
      </c>
      <c r="C71" s="894" t="s">
        <v>699</v>
      </c>
      <c r="D71" s="648">
        <v>2007</v>
      </c>
      <c r="E71" s="895" t="s">
        <v>700</v>
      </c>
      <c r="F71" s="649"/>
      <c r="G71" s="648"/>
      <c r="H71" s="895" t="s">
        <v>864</v>
      </c>
      <c r="I71" s="845">
        <f>mmBTU_to_GJ</f>
        <v>1.0549999999999999</v>
      </c>
      <c r="J71" s="644" t="s">
        <v>1058</v>
      </c>
      <c r="K71" s="645">
        <v>56.31533863997597</v>
      </c>
      <c r="L71" s="645" t="s">
        <v>932</v>
      </c>
      <c r="M71" s="646"/>
      <c r="N71" s="647"/>
    </row>
    <row r="72" spans="1:14" ht="37.5" x14ac:dyDescent="0.25">
      <c r="A72" s="893" t="s">
        <v>283</v>
      </c>
      <c r="B72" s="648" t="s">
        <v>865</v>
      </c>
      <c r="C72" s="894" t="s">
        <v>699</v>
      </c>
      <c r="D72" s="648">
        <v>2007</v>
      </c>
      <c r="E72" s="895" t="s">
        <v>700</v>
      </c>
      <c r="F72" s="649"/>
      <c r="G72" s="648"/>
      <c r="H72" s="895" t="s">
        <v>864</v>
      </c>
      <c r="I72" s="845">
        <f>mmBTU_to_GJ</f>
        <v>1.0549999999999999</v>
      </c>
      <c r="J72" s="644" t="s">
        <v>1058</v>
      </c>
      <c r="K72" s="645">
        <v>56.31533863997597</v>
      </c>
      <c r="L72" s="645" t="s">
        <v>932</v>
      </c>
      <c r="M72" s="646"/>
      <c r="N72" s="647"/>
    </row>
    <row r="73" spans="1:14" ht="37.5" x14ac:dyDescent="0.25">
      <c r="A73" s="893" t="s">
        <v>681</v>
      </c>
      <c r="B73" s="648" t="s">
        <v>865</v>
      </c>
      <c r="C73" s="894" t="s">
        <v>699</v>
      </c>
      <c r="D73" s="648">
        <v>2007</v>
      </c>
      <c r="E73" s="895" t="s">
        <v>700</v>
      </c>
      <c r="F73" s="649"/>
      <c r="G73" s="648"/>
      <c r="H73" s="895" t="s">
        <v>864</v>
      </c>
      <c r="I73" s="845">
        <f>mmBTU_to_GJ</f>
        <v>1.0549999999999999</v>
      </c>
      <c r="J73" s="644" t="s">
        <v>1058</v>
      </c>
      <c r="K73" s="645">
        <v>56.31533863997597</v>
      </c>
      <c r="L73" s="645" t="s">
        <v>932</v>
      </c>
      <c r="M73" s="646"/>
      <c r="N73" s="647"/>
    </row>
    <row r="74" spans="1:14" ht="37.5" x14ac:dyDescent="0.25">
      <c r="A74" s="893" t="s">
        <v>1086</v>
      </c>
      <c r="B74" s="648" t="s">
        <v>865</v>
      </c>
      <c r="C74" s="894" t="s">
        <v>699</v>
      </c>
      <c r="D74" s="648">
        <v>2007</v>
      </c>
      <c r="E74" s="895" t="s">
        <v>700</v>
      </c>
      <c r="F74" s="649"/>
      <c r="G74" s="648"/>
      <c r="H74" s="895" t="s">
        <v>864</v>
      </c>
      <c r="I74" s="845">
        <f>mmBTU_to_GJ</f>
        <v>1.0549999999999999</v>
      </c>
      <c r="J74" s="644" t="s">
        <v>1058</v>
      </c>
      <c r="K74" s="645">
        <v>56.31533863997597</v>
      </c>
      <c r="L74" s="645" t="s">
        <v>932</v>
      </c>
      <c r="M74" s="646"/>
      <c r="N74" s="647"/>
    </row>
    <row r="75" spans="1:14" ht="25" x14ac:dyDescent="0.25">
      <c r="A75" s="893" t="s">
        <v>682</v>
      </c>
      <c r="B75" s="648"/>
      <c r="C75" s="894" t="s">
        <v>699</v>
      </c>
      <c r="D75" s="648">
        <v>2007</v>
      </c>
      <c r="E75" s="895" t="s">
        <v>700</v>
      </c>
      <c r="F75" s="649"/>
      <c r="G75" s="648"/>
      <c r="H75" s="895" t="s">
        <v>864</v>
      </c>
      <c r="I75" s="845">
        <f>mmBTU_to_GJ</f>
        <v>1.0549999999999999</v>
      </c>
      <c r="J75" s="644" t="s">
        <v>1058</v>
      </c>
      <c r="K75" s="645">
        <v>56.31533863997597</v>
      </c>
      <c r="L75" s="645" t="s">
        <v>932</v>
      </c>
      <c r="M75" s="646"/>
      <c r="N75" s="647"/>
    </row>
    <row r="76" spans="1:14" ht="37.5" x14ac:dyDescent="0.25">
      <c r="A76" s="893" t="s">
        <v>683</v>
      </c>
      <c r="B76" s="648" t="s">
        <v>865</v>
      </c>
      <c r="C76" s="894" t="s">
        <v>699</v>
      </c>
      <c r="D76" s="648">
        <v>2007</v>
      </c>
      <c r="E76" s="895" t="s">
        <v>701</v>
      </c>
      <c r="F76" s="648"/>
      <c r="G76" s="648"/>
      <c r="H76" s="644" t="s">
        <v>296</v>
      </c>
      <c r="I76" s="845">
        <f>1/MJ_to_kWh/1000</f>
        <v>3.5999999999999995E-3</v>
      </c>
      <c r="J76" s="644" t="s">
        <v>1071</v>
      </c>
      <c r="K76" s="645">
        <v>0</v>
      </c>
      <c r="L76" s="645" t="s">
        <v>932</v>
      </c>
      <c r="M76" s="646"/>
      <c r="N76" s="647"/>
    </row>
    <row r="77" spans="1:14" ht="37.5" x14ac:dyDescent="0.25">
      <c r="A77" s="893" t="s">
        <v>698</v>
      </c>
      <c r="B77" s="648" t="s">
        <v>865</v>
      </c>
      <c r="C77" s="894" t="s">
        <v>699</v>
      </c>
      <c r="D77" s="648">
        <v>2007</v>
      </c>
      <c r="E77" s="895" t="s">
        <v>701</v>
      </c>
      <c r="F77" s="648"/>
      <c r="G77" s="648"/>
      <c r="H77" s="644" t="s">
        <v>296</v>
      </c>
      <c r="I77" s="845">
        <f>1/MJ_to_kWh/1000</f>
        <v>3.5999999999999995E-3</v>
      </c>
      <c r="J77" s="644" t="s">
        <v>1071</v>
      </c>
      <c r="K77" s="645">
        <v>0</v>
      </c>
      <c r="L77" s="645" t="s">
        <v>932</v>
      </c>
      <c r="M77" s="646"/>
      <c r="N77" s="647"/>
    </row>
    <row r="78" spans="1:14" ht="37.5" x14ac:dyDescent="0.25">
      <c r="A78" s="893" t="s">
        <v>684</v>
      </c>
      <c r="B78" s="648" t="s">
        <v>865</v>
      </c>
      <c r="C78" s="894" t="s">
        <v>699</v>
      </c>
      <c r="D78" s="648">
        <v>2007</v>
      </c>
      <c r="E78" s="895" t="s">
        <v>701</v>
      </c>
      <c r="F78" s="648"/>
      <c r="G78" s="648"/>
      <c r="H78" s="644" t="s">
        <v>296</v>
      </c>
      <c r="I78" s="845">
        <f>1/MJ_to_kWh/1000</f>
        <v>3.5999999999999995E-3</v>
      </c>
      <c r="J78" s="644" t="s">
        <v>1071</v>
      </c>
      <c r="K78" s="645">
        <v>0</v>
      </c>
      <c r="L78" s="645" t="s">
        <v>932</v>
      </c>
      <c r="M78" s="646"/>
      <c r="N78" s="647"/>
    </row>
    <row r="79" spans="1:14" ht="37.5" x14ac:dyDescent="0.25">
      <c r="A79" s="893" t="s">
        <v>1087</v>
      </c>
      <c r="B79" s="648" t="s">
        <v>865</v>
      </c>
      <c r="C79" s="894" t="s">
        <v>699</v>
      </c>
      <c r="D79" s="648">
        <v>2007</v>
      </c>
      <c r="E79" s="895" t="s">
        <v>700</v>
      </c>
      <c r="F79" s="649"/>
      <c r="G79" s="648"/>
      <c r="H79" s="644" t="s">
        <v>268</v>
      </c>
      <c r="I79" s="845">
        <f>$C$42/2000/lb_to_kg/1000000*mmBTU_to_GJ</f>
        <v>2.2735034516249999E-2</v>
      </c>
      <c r="J79" s="644" t="s">
        <v>1052</v>
      </c>
      <c r="K79" s="645">
        <v>102.75287348239476</v>
      </c>
      <c r="L79" s="645" t="s">
        <v>932</v>
      </c>
      <c r="M79" s="646"/>
      <c r="N79" s="647"/>
    </row>
    <row r="80" spans="1:14" ht="37.5" x14ac:dyDescent="0.25">
      <c r="A80" s="893" t="s">
        <v>716</v>
      </c>
      <c r="B80" s="648" t="s">
        <v>865</v>
      </c>
      <c r="C80" s="894" t="s">
        <v>699</v>
      </c>
      <c r="D80" s="648">
        <v>2007</v>
      </c>
      <c r="E80" s="895" t="s">
        <v>700</v>
      </c>
      <c r="F80" s="649"/>
      <c r="G80" s="648"/>
      <c r="H80" s="644" t="s">
        <v>268</v>
      </c>
      <c r="I80" s="845">
        <f>$C$42/2000/lb_to_kg/1000000*mmBTU_to_GJ</f>
        <v>2.2735034516249999E-2</v>
      </c>
      <c r="J80" s="644" t="s">
        <v>1052</v>
      </c>
      <c r="K80" s="645">
        <v>102.75287348239476</v>
      </c>
      <c r="L80" s="645" t="s">
        <v>932</v>
      </c>
      <c r="M80" s="646"/>
      <c r="N80" s="647"/>
    </row>
    <row r="81" spans="1:14" ht="37.5" x14ac:dyDescent="0.25">
      <c r="A81" s="893" t="s">
        <v>717</v>
      </c>
      <c r="B81" s="648" t="s">
        <v>865</v>
      </c>
      <c r="C81" s="894" t="s">
        <v>699</v>
      </c>
      <c r="D81" s="648">
        <v>2007</v>
      </c>
      <c r="E81" s="895" t="s">
        <v>700</v>
      </c>
      <c r="F81" s="649"/>
      <c r="G81" s="648"/>
      <c r="H81" s="644" t="s">
        <v>268</v>
      </c>
      <c r="I81" s="845">
        <f>$C$42/2000/lb_to_kg/1000000*mmBTU_to_GJ</f>
        <v>2.2735034516249999E-2</v>
      </c>
      <c r="J81" s="644" t="s">
        <v>1052</v>
      </c>
      <c r="K81" s="645">
        <v>102.75287348239476</v>
      </c>
      <c r="L81" s="645" t="s">
        <v>932</v>
      </c>
      <c r="M81" s="646"/>
      <c r="N81" s="647"/>
    </row>
    <row r="82" spans="1:14" ht="37.5" x14ac:dyDescent="0.25">
      <c r="A82" s="893" t="s">
        <v>912</v>
      </c>
      <c r="B82" s="648" t="s">
        <v>865</v>
      </c>
      <c r="C82" s="894" t="s">
        <v>699</v>
      </c>
      <c r="D82" s="648">
        <v>2007</v>
      </c>
      <c r="E82" s="895" t="s">
        <v>700</v>
      </c>
      <c r="F82" s="649"/>
      <c r="G82" s="648"/>
      <c r="H82" s="644" t="s">
        <v>269</v>
      </c>
      <c r="I82" s="845">
        <f>$C$14/gal_to_liters*mmBTU_to_GJ/1000000</f>
        <v>3.5803104359313075E-2</v>
      </c>
      <c r="J82" s="644" t="s">
        <v>1058</v>
      </c>
      <c r="K82" s="645">
        <v>74.122324937568308</v>
      </c>
      <c r="L82" s="645" t="s">
        <v>932</v>
      </c>
      <c r="M82" s="646"/>
      <c r="N82" s="647"/>
    </row>
    <row r="83" spans="1:14" ht="37.5" x14ac:dyDescent="0.25">
      <c r="A83" s="893" t="s">
        <v>910</v>
      </c>
      <c r="B83" s="648" t="s">
        <v>865</v>
      </c>
      <c r="C83" s="894" t="s">
        <v>699</v>
      </c>
      <c r="D83" s="648">
        <v>2007</v>
      </c>
      <c r="E83" s="895" t="s">
        <v>700</v>
      </c>
      <c r="F83" s="649"/>
      <c r="G83" s="648"/>
      <c r="H83" s="644" t="s">
        <v>269</v>
      </c>
      <c r="I83" s="845">
        <f>$Q$14/gal_to_liters*mmBTU_to_GJ/1000000</f>
        <v>2.4157130779392338E-2</v>
      </c>
      <c r="J83" s="644" t="s">
        <v>1052</v>
      </c>
      <c r="K83" s="645">
        <v>71.019041167591709</v>
      </c>
      <c r="L83" s="645" t="s">
        <v>932</v>
      </c>
      <c r="M83" s="646"/>
      <c r="N83" s="647"/>
    </row>
    <row r="84" spans="1:14" ht="37.5" x14ac:dyDescent="0.25">
      <c r="A84" s="893" t="s">
        <v>913</v>
      </c>
      <c r="B84" s="648" t="s">
        <v>865</v>
      </c>
      <c r="C84" s="894" t="s">
        <v>699</v>
      </c>
      <c r="D84" s="648">
        <v>2007</v>
      </c>
      <c r="E84" s="895" t="s">
        <v>700</v>
      </c>
      <c r="F84" s="649"/>
      <c r="G84" s="648"/>
      <c r="H84" s="644" t="s">
        <v>269</v>
      </c>
      <c r="I84" s="845">
        <f>$C$11/gal_to_liters*mmBTU_to_GJ/1000000</f>
        <v>3.2357978863936591E-2</v>
      </c>
      <c r="J84" s="644" t="s">
        <v>1052</v>
      </c>
      <c r="K84" s="645">
        <v>72.833307273582633</v>
      </c>
      <c r="L84" s="645" t="s">
        <v>932</v>
      </c>
      <c r="M84" s="646"/>
      <c r="N84" s="647"/>
    </row>
    <row r="85" spans="1:14" ht="275" x14ac:dyDescent="0.25">
      <c r="A85" s="893" t="s">
        <v>1081</v>
      </c>
      <c r="B85" s="844" t="s">
        <v>437</v>
      </c>
      <c r="C85" s="894" t="s">
        <v>699</v>
      </c>
      <c r="D85" s="648">
        <v>2007</v>
      </c>
      <c r="E85" s="895" t="s">
        <v>701</v>
      </c>
      <c r="F85" s="649"/>
      <c r="G85" s="648"/>
      <c r="H85" s="644" t="s">
        <v>268</v>
      </c>
      <c r="I85" s="845">
        <f>$E$45/1000</f>
        <v>1.9551069237418006E-2</v>
      </c>
      <c r="J85" s="644" t="s">
        <v>1052</v>
      </c>
      <c r="K85" s="645">
        <v>97.876597052612851</v>
      </c>
      <c r="L85" s="645" t="s">
        <v>932</v>
      </c>
      <c r="M85" s="646"/>
      <c r="N85" s="647"/>
    </row>
    <row r="86" spans="1:14" x14ac:dyDescent="0.25">
      <c r="A86" s="893" t="s">
        <v>815</v>
      </c>
      <c r="B86" s="844"/>
      <c r="C86" s="894"/>
      <c r="D86" s="648"/>
      <c r="E86" s="895" t="s">
        <v>701</v>
      </c>
      <c r="F86" s="649"/>
      <c r="G86" s="648"/>
      <c r="H86" s="644" t="s">
        <v>268</v>
      </c>
      <c r="I86" s="845">
        <f>$E$45/1000</f>
        <v>1.9551069237418006E-2</v>
      </c>
      <c r="J86" s="644" t="s">
        <v>1052</v>
      </c>
      <c r="K86" s="645">
        <v>97.876597052612851</v>
      </c>
      <c r="L86" s="645" t="s">
        <v>932</v>
      </c>
      <c r="M86" s="646"/>
      <c r="N86" s="647"/>
    </row>
    <row r="87" spans="1:14" ht="75" x14ac:dyDescent="0.25">
      <c r="A87" s="893" t="s">
        <v>824</v>
      </c>
      <c r="B87" s="995" t="s">
        <v>832</v>
      </c>
      <c r="C87" s="894"/>
      <c r="D87" s="648"/>
      <c r="E87" s="895" t="s">
        <v>701</v>
      </c>
      <c r="F87" s="649"/>
      <c r="G87" s="648"/>
      <c r="H87" s="644" t="s">
        <v>268</v>
      </c>
      <c r="I87" s="845">
        <f>18.608/1000</f>
        <v>1.8608E-2</v>
      </c>
      <c r="J87" s="644" t="s">
        <v>1052</v>
      </c>
      <c r="K87" s="645">
        <v>97.876597052612851</v>
      </c>
      <c r="L87" s="645" t="s">
        <v>932</v>
      </c>
      <c r="M87" s="646"/>
      <c r="N87" s="647"/>
    </row>
    <row r="88" spans="1:14" ht="75" x14ac:dyDescent="0.25">
      <c r="A88" s="893" t="s">
        <v>1088</v>
      </c>
      <c r="B88" s="648" t="s">
        <v>1089</v>
      </c>
      <c r="C88" s="894" t="s">
        <v>699</v>
      </c>
      <c r="D88" s="648">
        <v>2007</v>
      </c>
      <c r="E88" s="895" t="s">
        <v>701</v>
      </c>
      <c r="F88" s="649"/>
      <c r="G88" s="648"/>
      <c r="H88" s="644" t="s">
        <v>268</v>
      </c>
      <c r="I88" s="845">
        <v>2.8300000000000001E-3</v>
      </c>
      <c r="J88" s="644" t="s">
        <v>1071</v>
      </c>
      <c r="K88" s="645">
        <v>0</v>
      </c>
      <c r="L88" s="645" t="s">
        <v>932</v>
      </c>
      <c r="M88" s="646"/>
      <c r="N88" s="647"/>
    </row>
    <row r="90" spans="1:14" ht="13" thickBot="1" x14ac:dyDescent="0.3"/>
    <row r="91" spans="1:14" ht="33.75" customHeight="1" thickTop="1" x14ac:dyDescent="0.3">
      <c r="A91" s="1683" t="s">
        <v>992</v>
      </c>
      <c r="B91" s="1684"/>
      <c r="D91" s="1683" t="s">
        <v>685</v>
      </c>
      <c r="E91" s="1684"/>
      <c r="G91" s="1683" t="s">
        <v>686</v>
      </c>
      <c r="H91" s="1684"/>
      <c r="K91" s="1694" t="s">
        <v>688</v>
      </c>
      <c r="L91" s="1695"/>
    </row>
    <row r="92" spans="1:14" ht="41.25" customHeight="1" thickBot="1" x14ac:dyDescent="0.3">
      <c r="A92" s="1232" t="s">
        <v>1100</v>
      </c>
      <c r="B92" s="1046"/>
      <c r="D92" s="1681" t="s">
        <v>687</v>
      </c>
      <c r="E92" s="1682"/>
      <c r="G92" s="1232" t="s">
        <v>1101</v>
      </c>
      <c r="H92" s="1046"/>
      <c r="K92" s="1681" t="s">
        <v>689</v>
      </c>
      <c r="L92" s="1682"/>
      <c r="N92" s="1301"/>
    </row>
    <row r="93" spans="1:14" ht="14" x14ac:dyDescent="0.3">
      <c r="A93" s="30" t="s">
        <v>1084</v>
      </c>
      <c r="B93" s="31" t="s">
        <v>1092</v>
      </c>
      <c r="D93" s="30" t="s">
        <v>1084</v>
      </c>
      <c r="E93" s="31" t="s">
        <v>1092</v>
      </c>
      <c r="G93" s="30" t="s">
        <v>1084</v>
      </c>
      <c r="H93" s="31" t="s">
        <v>1092</v>
      </c>
      <c r="K93" s="30" t="s">
        <v>1084</v>
      </c>
      <c r="L93" s="31" t="s">
        <v>1092</v>
      </c>
    </row>
    <row r="94" spans="1:14" ht="28.5" customHeight="1" x14ac:dyDescent="0.25">
      <c r="A94" s="1043">
        <v>1992</v>
      </c>
      <c r="B94" s="1044">
        <v>70.563999999999993</v>
      </c>
      <c r="C94" s="865"/>
      <c r="D94" s="1235">
        <v>1992</v>
      </c>
      <c r="E94" s="1236">
        <v>358.2</v>
      </c>
      <c r="F94" s="1306"/>
      <c r="G94" s="1235">
        <v>1992</v>
      </c>
      <c r="H94" s="1238">
        <v>13.7</v>
      </c>
      <c r="K94" s="1235">
        <v>1980</v>
      </c>
      <c r="L94" s="1239">
        <v>55.195749555178075</v>
      </c>
    </row>
    <row r="95" spans="1:14" x14ac:dyDescent="0.25">
      <c r="A95" s="1043">
        <v>1993</v>
      </c>
      <c r="B95" s="1044">
        <v>72.244</v>
      </c>
      <c r="D95" s="1235">
        <v>1993</v>
      </c>
      <c r="E95" s="1236">
        <v>359.2</v>
      </c>
      <c r="F95" s="1306"/>
      <c r="G95" s="1235">
        <v>1993</v>
      </c>
      <c r="H95" s="1238">
        <v>13.97</v>
      </c>
      <c r="K95" s="1235">
        <v>1981</v>
      </c>
      <c r="L95" s="1239">
        <v>61.025412991342954</v>
      </c>
    </row>
    <row r="96" spans="1:14" x14ac:dyDescent="0.25">
      <c r="A96" s="1043">
        <v>1994</v>
      </c>
      <c r="B96" s="1044">
        <v>73.781000000000006</v>
      </c>
      <c r="D96" s="1235">
        <v>1994</v>
      </c>
      <c r="E96" s="1236">
        <v>368.1</v>
      </c>
      <c r="F96" s="1306"/>
      <c r="G96" s="1235">
        <v>1994</v>
      </c>
      <c r="H96" s="1238">
        <v>14.33</v>
      </c>
      <c r="K96" s="1235">
        <v>1982</v>
      </c>
      <c r="L96" s="1239">
        <v>62.017696129413558</v>
      </c>
    </row>
    <row r="97" spans="1:15" x14ac:dyDescent="0.25">
      <c r="A97" s="1043">
        <v>1995</v>
      </c>
      <c r="B97" s="1044">
        <v>75.320999999999998</v>
      </c>
      <c r="D97" s="1235">
        <v>1995</v>
      </c>
      <c r="E97" s="1236">
        <v>381.1</v>
      </c>
      <c r="F97" s="1306"/>
      <c r="G97" s="1235">
        <v>1995</v>
      </c>
      <c r="H97" s="1238">
        <v>14.86</v>
      </c>
      <c r="K97" s="1235">
        <v>1983</v>
      </c>
      <c r="L97" s="1239">
        <v>62.203749217801807</v>
      </c>
    </row>
    <row r="98" spans="1:15" x14ac:dyDescent="0.25">
      <c r="A98" s="1043">
        <v>1996</v>
      </c>
      <c r="B98" s="1044">
        <v>76.694999999999993</v>
      </c>
      <c r="D98" s="1235">
        <v>1996</v>
      </c>
      <c r="E98" s="1236">
        <v>381.7</v>
      </c>
      <c r="F98" s="1306"/>
      <c r="G98" s="1235">
        <v>1996</v>
      </c>
      <c r="H98" s="1238">
        <v>15.37</v>
      </c>
      <c r="K98" s="1235">
        <v>1984</v>
      </c>
      <c r="L98" s="1239">
        <v>63.81620931716656</v>
      </c>
    </row>
    <row r="99" spans="1:15" x14ac:dyDescent="0.25">
      <c r="A99" s="1043">
        <v>1997</v>
      </c>
      <c r="B99" s="1044">
        <v>78.009</v>
      </c>
      <c r="D99" s="1235">
        <v>1997</v>
      </c>
      <c r="E99" s="1236">
        <v>386.5</v>
      </c>
      <c r="F99" s="1306"/>
      <c r="G99" s="1235">
        <v>1997</v>
      </c>
      <c r="H99" s="1238">
        <v>15.78</v>
      </c>
      <c r="K99" s="1235">
        <v>1985</v>
      </c>
      <c r="L99" s="1239">
        <v>64.262922782386738</v>
      </c>
      <c r="M99" s="1303"/>
    </row>
    <row r="100" spans="1:15" x14ac:dyDescent="0.25">
      <c r="A100" s="1043">
        <v>1998</v>
      </c>
      <c r="B100" s="1044">
        <v>78.855000000000004</v>
      </c>
      <c r="D100" s="1235">
        <v>1998</v>
      </c>
      <c r="E100" s="1236">
        <v>389.5</v>
      </c>
      <c r="F100" s="1306"/>
      <c r="G100" s="1235">
        <v>1998</v>
      </c>
      <c r="H100" s="1238">
        <v>16.23</v>
      </c>
      <c r="K100" s="1235">
        <v>1986</v>
      </c>
      <c r="L100" s="1239">
        <v>64.135290363752389</v>
      </c>
      <c r="M100" s="1303"/>
      <c r="N100" s="1304"/>
      <c r="O100" s="1304"/>
    </row>
    <row r="101" spans="1:15" x14ac:dyDescent="0.25">
      <c r="A101" s="1043">
        <v>1999</v>
      </c>
      <c r="B101" s="1044">
        <v>80.061000000000007</v>
      </c>
      <c r="D101" s="1235">
        <v>1999</v>
      </c>
      <c r="E101" s="1236">
        <v>390.6</v>
      </c>
      <c r="F101" s="1306"/>
      <c r="G101" s="1235">
        <v>1999</v>
      </c>
      <c r="H101" s="1238">
        <v>16.399999999999999</v>
      </c>
      <c r="K101" s="1235">
        <v>1987</v>
      </c>
      <c r="L101" s="1239">
        <v>66.11359285258456</v>
      </c>
      <c r="M101" s="1303"/>
      <c r="N101" s="1304"/>
      <c r="O101" s="1304"/>
    </row>
    <row r="102" spans="1:15" x14ac:dyDescent="0.25">
      <c r="A102" s="1043">
        <v>2000</v>
      </c>
      <c r="B102" s="1044">
        <v>81.882999999999996</v>
      </c>
      <c r="D102" s="1235">
        <v>2000</v>
      </c>
      <c r="E102" s="1236">
        <v>394.1</v>
      </c>
      <c r="F102" s="1306"/>
      <c r="G102" s="1235">
        <v>2000</v>
      </c>
      <c r="H102" s="1238">
        <v>17.09</v>
      </c>
      <c r="K102" s="1235">
        <v>1988</v>
      </c>
      <c r="L102" s="1239">
        <v>72.112316528398225</v>
      </c>
      <c r="M102" s="1303"/>
      <c r="N102" s="1304"/>
      <c r="O102" s="1304"/>
    </row>
    <row r="103" spans="1:15" x14ac:dyDescent="0.25">
      <c r="A103" s="1043">
        <v>2001</v>
      </c>
      <c r="B103" s="1044">
        <v>83.753</v>
      </c>
      <c r="D103" s="1235">
        <v>2001</v>
      </c>
      <c r="E103" s="1236">
        <v>394.3</v>
      </c>
      <c r="F103" s="1306"/>
      <c r="G103" s="1235">
        <v>2001</v>
      </c>
      <c r="H103" s="1238">
        <v>17.57</v>
      </c>
      <c r="K103" s="1235">
        <v>1989</v>
      </c>
      <c r="L103" s="1239">
        <v>76.324186343331206</v>
      </c>
      <c r="M103" s="1303"/>
      <c r="N103" s="1304"/>
      <c r="O103" s="1304"/>
    </row>
    <row r="104" spans="1:15" x14ac:dyDescent="0.25">
      <c r="A104" s="1043">
        <v>2002</v>
      </c>
      <c r="B104" s="1044">
        <v>85.037999999999997</v>
      </c>
      <c r="D104" s="1235">
        <v>2002</v>
      </c>
      <c r="E104" s="1236">
        <v>395.6</v>
      </c>
      <c r="F104" s="1306"/>
      <c r="G104" s="1235">
        <v>2002</v>
      </c>
      <c r="H104" s="1238">
        <v>17.97</v>
      </c>
      <c r="K104" s="1235">
        <v>1990</v>
      </c>
      <c r="L104" s="1239">
        <v>77.217613273771548</v>
      </c>
      <c r="M104" s="1303"/>
      <c r="N104" s="1304"/>
      <c r="O104" s="1304"/>
    </row>
    <row r="105" spans="1:15" x14ac:dyDescent="0.25">
      <c r="A105" s="1043">
        <v>2003</v>
      </c>
      <c r="B105" s="1044">
        <v>86.728999999999999</v>
      </c>
      <c r="D105" s="1235">
        <v>2003</v>
      </c>
      <c r="E105" s="1236">
        <v>402</v>
      </c>
      <c r="F105" s="1306"/>
      <c r="G105" s="1235">
        <v>2003</v>
      </c>
      <c r="H105" s="1238">
        <v>18.5</v>
      </c>
      <c r="K105" s="1235">
        <v>1991</v>
      </c>
      <c r="L105" s="1239">
        <v>79.38736439055522</v>
      </c>
      <c r="M105" s="1303"/>
      <c r="N105" s="1304"/>
      <c r="O105" s="1304"/>
    </row>
    <row r="106" spans="1:15" x14ac:dyDescent="0.25">
      <c r="A106" s="1043">
        <v>2004</v>
      </c>
      <c r="B106" s="1044">
        <v>89.114000000000004</v>
      </c>
      <c r="D106" s="1235">
        <v>2004</v>
      </c>
      <c r="E106" s="1236">
        <v>444.2</v>
      </c>
      <c r="F106" s="1306"/>
      <c r="G106" s="1235">
        <v>2004</v>
      </c>
      <c r="H106" s="1238">
        <v>19.170000000000002</v>
      </c>
      <c r="K106" s="1235">
        <v>1992</v>
      </c>
      <c r="L106" s="1240">
        <v>80.280791320995533</v>
      </c>
      <c r="M106" s="1303"/>
      <c r="N106" s="1304"/>
      <c r="O106" s="1304"/>
    </row>
    <row r="107" spans="1:15" ht="13" x14ac:dyDescent="0.3">
      <c r="A107" s="1043">
        <v>2005</v>
      </c>
      <c r="B107" s="1044">
        <v>91.980999999999995</v>
      </c>
      <c r="D107" s="1235">
        <v>2005</v>
      </c>
      <c r="E107" s="1236">
        <v>468.2</v>
      </c>
      <c r="F107" s="1306"/>
      <c r="G107" s="1235">
        <v>2005</v>
      </c>
      <c r="H107" s="1396">
        <v>19.670000000000002</v>
      </c>
      <c r="K107" s="1235">
        <v>1993</v>
      </c>
      <c r="L107" s="1240">
        <v>81.174218251435875</v>
      </c>
      <c r="M107" s="1303"/>
      <c r="N107" s="1304"/>
      <c r="O107" s="1304"/>
    </row>
    <row r="108" spans="1:15" x14ac:dyDescent="0.25">
      <c r="A108" s="1043">
        <v>2006</v>
      </c>
      <c r="B108" s="1044">
        <v>94.811999999999998</v>
      </c>
      <c r="D108" s="1235">
        <v>2006</v>
      </c>
      <c r="E108" s="1236">
        <v>499.6</v>
      </c>
      <c r="F108" s="1306"/>
      <c r="G108" s="1235">
        <v>2006</v>
      </c>
      <c r="H108" s="1238">
        <v>19.600000000000001</v>
      </c>
      <c r="K108" s="1235">
        <v>1994</v>
      </c>
      <c r="L108" s="1240">
        <v>82.961072112316543</v>
      </c>
      <c r="M108" s="1303"/>
      <c r="N108" s="1304"/>
      <c r="O108" s="1304"/>
    </row>
    <row r="109" spans="1:15" x14ac:dyDescent="0.25">
      <c r="A109" s="1043">
        <v>2007</v>
      </c>
      <c r="B109" s="1044">
        <v>97.334000000000003</v>
      </c>
      <c r="D109" s="1235">
        <v>2007</v>
      </c>
      <c r="E109" s="1236">
        <v>525.4</v>
      </c>
      <c r="F109" s="1335"/>
      <c r="G109" s="1235">
        <v>2007</v>
      </c>
      <c r="H109" s="1238">
        <v>19.55</v>
      </c>
      <c r="K109" s="1235">
        <v>1995</v>
      </c>
      <c r="L109" s="1240">
        <v>91.512444160816855</v>
      </c>
      <c r="M109" s="1303"/>
      <c r="N109" s="1304"/>
      <c r="O109" s="1304"/>
    </row>
    <row r="110" spans="1:15" x14ac:dyDescent="0.25">
      <c r="A110" s="1043">
        <v>2008</v>
      </c>
      <c r="B110" s="1044">
        <v>99.25</v>
      </c>
      <c r="D110" s="1235">
        <v>2008</v>
      </c>
      <c r="E110" s="1236">
        <v>575.4</v>
      </c>
      <c r="F110" s="1306"/>
      <c r="G110" s="1235">
        <v>2008</v>
      </c>
      <c r="H110" s="1238">
        <v>19.5</v>
      </c>
      <c r="K110" s="1235">
        <v>1996</v>
      </c>
      <c r="L110" s="1240">
        <v>93.044033184428855</v>
      </c>
      <c r="M110" s="1303"/>
      <c r="N110" s="1304"/>
      <c r="O110" s="1304"/>
    </row>
    <row r="111" spans="1:15" ht="14.5" x14ac:dyDescent="0.35">
      <c r="A111" s="1043">
        <v>2009</v>
      </c>
      <c r="B111" s="1233">
        <v>100</v>
      </c>
      <c r="D111" s="864">
        <v>2009</v>
      </c>
      <c r="E111" s="1236">
        <v>521.9</v>
      </c>
      <c r="F111" s="1306"/>
      <c r="G111" s="864">
        <v>2009</v>
      </c>
      <c r="H111" s="1047">
        <v>20.3</v>
      </c>
      <c r="K111" s="1235">
        <v>1997</v>
      </c>
      <c r="L111" s="1240">
        <v>93.873643905552015</v>
      </c>
      <c r="M111" s="1303"/>
      <c r="N111" s="1304"/>
      <c r="O111" s="1304"/>
    </row>
    <row r="112" spans="1:15" ht="14.5" x14ac:dyDescent="0.35">
      <c r="A112" s="1043">
        <v>2010</v>
      </c>
      <c r="B112" s="1233">
        <v>101.217</v>
      </c>
      <c r="D112" s="864">
        <v>2010</v>
      </c>
      <c r="E112" s="1236">
        <v>550.79999999999995</v>
      </c>
      <c r="F112" s="1306"/>
      <c r="G112" s="864">
        <v>2010</v>
      </c>
      <c r="H112" s="1047">
        <v>21.07</v>
      </c>
      <c r="K112" s="1235">
        <v>1998</v>
      </c>
      <c r="L112" s="1240">
        <v>94.894703254626677</v>
      </c>
      <c r="M112" s="1303"/>
      <c r="N112" s="1304"/>
      <c r="O112" s="1304"/>
    </row>
    <row r="113" spans="1:15" ht="14.5" x14ac:dyDescent="0.35">
      <c r="A113" s="1043">
        <v>2011</v>
      </c>
      <c r="B113" s="1233">
        <v>103.307</v>
      </c>
      <c r="D113" s="864">
        <v>2011</v>
      </c>
      <c r="E113" s="1236">
        <v>585.70000000000005</v>
      </c>
      <c r="F113" s="1306"/>
      <c r="G113" s="864">
        <v>2011</v>
      </c>
      <c r="H113" s="1047">
        <v>21.45</v>
      </c>
      <c r="K113" s="1235">
        <v>1999</v>
      </c>
      <c r="L113" s="1240">
        <v>95.532865347798349</v>
      </c>
      <c r="M113" s="1303"/>
      <c r="N113" s="1304"/>
      <c r="O113" s="1304"/>
    </row>
    <row r="114" spans="1:15" ht="14.5" x14ac:dyDescent="0.35">
      <c r="A114" s="1043">
        <v>2012</v>
      </c>
      <c r="B114" s="1233">
        <v>105.21299999999999</v>
      </c>
      <c r="D114" s="864">
        <v>2012</v>
      </c>
      <c r="E114" s="1236">
        <v>584.6</v>
      </c>
      <c r="F114" s="1306"/>
      <c r="G114" s="864">
        <v>2012</v>
      </c>
      <c r="H114" s="1047">
        <v>21.45</v>
      </c>
      <c r="K114" s="1235">
        <v>2000</v>
      </c>
      <c r="L114" s="1240">
        <v>100</v>
      </c>
      <c r="M114" s="1303"/>
      <c r="N114" s="1304"/>
      <c r="O114" s="1304"/>
    </row>
    <row r="115" spans="1:15" ht="14.5" x14ac:dyDescent="0.35">
      <c r="A115" s="1043">
        <v>2013</v>
      </c>
      <c r="B115" s="1233">
        <v>106.91</v>
      </c>
      <c r="D115" s="864">
        <v>2013</v>
      </c>
      <c r="E115" s="1236">
        <v>567.29999999999995</v>
      </c>
      <c r="F115" s="1306"/>
      <c r="G115" s="864">
        <v>2013</v>
      </c>
      <c r="H115" s="1047">
        <v>21.4</v>
      </c>
      <c r="K115" s="1235">
        <v>2001</v>
      </c>
      <c r="L115" s="1240">
        <v>101.08487555839186</v>
      </c>
      <c r="M115" s="1303"/>
      <c r="N115" s="1304"/>
      <c r="O115" s="1304"/>
    </row>
    <row r="116" spans="1:15" ht="14.5" x14ac:dyDescent="0.35">
      <c r="A116" s="1043">
        <v>2014</v>
      </c>
      <c r="B116" s="1233">
        <v>108.827</v>
      </c>
      <c r="D116" s="864">
        <v>2014</v>
      </c>
      <c r="E116" s="1236">
        <v>576.1</v>
      </c>
      <c r="F116" s="1306"/>
      <c r="G116" s="864">
        <v>2014</v>
      </c>
      <c r="H116" s="1047">
        <v>21.488333333333333</v>
      </c>
      <c r="K116" s="1235">
        <v>2002</v>
      </c>
      <c r="L116" s="1240">
        <v>100.38289725590302</v>
      </c>
      <c r="M116" s="1303"/>
      <c r="N116" s="1304"/>
      <c r="O116" s="1304"/>
    </row>
    <row r="117" spans="1:15" ht="14.5" x14ac:dyDescent="0.35">
      <c r="A117" s="1043">
        <v>2015</v>
      </c>
      <c r="B117" s="1233">
        <v>110.01</v>
      </c>
      <c r="D117" s="864">
        <v>2015</v>
      </c>
      <c r="E117" s="1236">
        <v>556.79999999999995</v>
      </c>
      <c r="F117" s="1306"/>
      <c r="G117" s="864">
        <v>2015</v>
      </c>
      <c r="H117" s="1047">
        <v>21.754999999999999</v>
      </c>
      <c r="K117" s="1235">
        <v>2003</v>
      </c>
      <c r="L117" s="1240">
        <v>105.04148053605616</v>
      </c>
      <c r="M117" s="1303"/>
      <c r="N117" s="1304"/>
      <c r="O117" s="1304"/>
    </row>
    <row r="118" spans="1:15" ht="15" thickBot="1" x14ac:dyDescent="0.4">
      <c r="A118" s="1043">
        <v>2016</v>
      </c>
      <c r="B118" s="1233">
        <v>111.41200000000001</v>
      </c>
      <c r="D118" s="866">
        <v>2016</v>
      </c>
      <c r="E118" s="1237">
        <v>541.70000000000005</v>
      </c>
      <c r="F118" s="1306"/>
      <c r="G118" s="866">
        <v>2016</v>
      </c>
      <c r="H118" s="1048">
        <v>22.714999999999993</v>
      </c>
      <c r="K118" s="1235">
        <v>2004</v>
      </c>
      <c r="L118" s="1240">
        <v>110.27440970006384</v>
      </c>
      <c r="M118" s="1303"/>
      <c r="N118" s="1304"/>
      <c r="O118" s="1304"/>
    </row>
    <row r="119" spans="1:15" ht="13.5" thickTop="1" thickBot="1" x14ac:dyDescent="0.3">
      <c r="A119" s="1045">
        <v>2017</v>
      </c>
      <c r="B119" s="1234">
        <v>112.854</v>
      </c>
      <c r="G119" s="305" t="s">
        <v>1102</v>
      </c>
      <c r="H119" s="305"/>
      <c r="K119" s="1235">
        <v>2005</v>
      </c>
      <c r="L119" s="1240">
        <v>119.52776005105299</v>
      </c>
      <c r="M119" s="1303"/>
      <c r="N119" s="1304"/>
      <c r="O119" s="1304"/>
    </row>
    <row r="120" spans="1:15" ht="13" thickTop="1" x14ac:dyDescent="0.25">
      <c r="K120" s="1235">
        <v>2006</v>
      </c>
      <c r="L120" s="1240">
        <v>125.5902999361838</v>
      </c>
      <c r="M120" s="1303"/>
      <c r="N120" s="1304"/>
      <c r="O120" s="1304"/>
    </row>
    <row r="121" spans="1:15" x14ac:dyDescent="0.25">
      <c r="K121" s="1235">
        <v>2007</v>
      </c>
      <c r="L121" s="1240">
        <v>129.73835354179963</v>
      </c>
      <c r="M121" s="1303"/>
      <c r="N121" s="1304"/>
      <c r="O121" s="1304"/>
    </row>
    <row r="122" spans="1:15" x14ac:dyDescent="0.25">
      <c r="K122" s="1235">
        <v>2008</v>
      </c>
      <c r="L122" s="1240">
        <v>145.6285896617741</v>
      </c>
      <c r="M122" s="1303"/>
      <c r="N122" s="1304"/>
      <c r="O122" s="1304"/>
    </row>
    <row r="123" spans="1:15" x14ac:dyDescent="0.25">
      <c r="K123" s="1235">
        <v>2009</v>
      </c>
      <c r="L123" s="1241">
        <v>143.39502233567327</v>
      </c>
      <c r="M123" s="1303"/>
      <c r="N123" s="1304"/>
      <c r="O123" s="1304"/>
    </row>
    <row r="124" spans="1:15" x14ac:dyDescent="0.25">
      <c r="K124" s="1235">
        <v>2010</v>
      </c>
      <c r="L124" s="1241">
        <v>149.13848117421827</v>
      </c>
      <c r="M124" s="1303"/>
      <c r="N124" s="1304"/>
      <c r="O124" s="1304"/>
    </row>
    <row r="125" spans="1:15" x14ac:dyDescent="0.25">
      <c r="K125" s="1235">
        <v>2011</v>
      </c>
      <c r="L125" s="1241">
        <v>160.8806636885769</v>
      </c>
      <c r="M125" s="1303"/>
      <c r="N125" s="1304"/>
      <c r="O125" s="1304"/>
    </row>
    <row r="126" spans="1:15" x14ac:dyDescent="0.25">
      <c r="K126" s="1235">
        <v>2012</v>
      </c>
      <c r="L126" s="1241">
        <v>166.11359285258459</v>
      </c>
      <c r="M126" s="1303"/>
      <c r="N126" s="1304"/>
      <c r="O126" s="1304"/>
    </row>
    <row r="127" spans="1:15" x14ac:dyDescent="0.25">
      <c r="K127" s="1235">
        <v>2013</v>
      </c>
      <c r="L127" s="1241">
        <v>168.41097638800255</v>
      </c>
      <c r="M127" s="1303"/>
      <c r="N127" s="1304"/>
      <c r="O127" s="1304"/>
    </row>
    <row r="128" spans="1:15" x14ac:dyDescent="0.25">
      <c r="K128" s="1235">
        <v>2014</v>
      </c>
      <c r="L128" s="1241">
        <v>171.79323548181239</v>
      </c>
      <c r="N128" s="1304"/>
      <c r="O128" s="1304"/>
    </row>
    <row r="129" spans="1:15" x14ac:dyDescent="0.25">
      <c r="K129" s="1235">
        <v>2015</v>
      </c>
      <c r="L129" s="1241">
        <v>168.98532227185709</v>
      </c>
      <c r="N129" s="1304"/>
      <c r="O129" s="1304"/>
    </row>
    <row r="130" spans="1:15" ht="13" thickBot="1" x14ac:dyDescent="0.3">
      <c r="K130" s="1242">
        <v>2016</v>
      </c>
      <c r="L130" s="1243">
        <v>170.4530950861519</v>
      </c>
      <c r="M130" s="1303"/>
      <c r="N130" s="1304"/>
      <c r="O130" s="1304"/>
    </row>
    <row r="131" spans="1:15" ht="13" thickTop="1" x14ac:dyDescent="0.25">
      <c r="K131" s="305" t="s">
        <v>1204</v>
      </c>
    </row>
    <row r="132" spans="1:15" ht="13" thickBot="1" x14ac:dyDescent="0.3">
      <c r="K132" s="305" t="s">
        <v>1231</v>
      </c>
    </row>
    <row r="133" spans="1:15" ht="28.5" thickBot="1" x14ac:dyDescent="0.35">
      <c r="A133" s="1439" t="s">
        <v>1103</v>
      </c>
      <c r="B133" s="1440"/>
      <c r="C133" s="1440"/>
      <c r="D133" s="1440"/>
      <c r="E133" s="1440"/>
      <c r="F133" s="1440"/>
      <c r="G133" s="1440"/>
      <c r="H133" s="1440"/>
      <c r="I133" s="1441"/>
    </row>
    <row r="134" spans="1:15" ht="52" x14ac:dyDescent="0.3">
      <c r="A134" s="1423"/>
      <c r="B134" s="606"/>
      <c r="C134" s="1688" t="s">
        <v>124</v>
      </c>
      <c r="D134" s="1688"/>
      <c r="E134" s="1688"/>
      <c r="F134" s="1689" t="s">
        <v>125</v>
      </c>
      <c r="G134" s="1688"/>
      <c r="H134" s="1690"/>
      <c r="I134" s="1424" t="s">
        <v>126</v>
      </c>
    </row>
    <row r="135" spans="1:15" ht="30" customHeight="1" thickBot="1" x14ac:dyDescent="0.35">
      <c r="A135" s="581" t="s">
        <v>127</v>
      </c>
      <c r="B135" s="607" t="s">
        <v>128</v>
      </c>
      <c r="C135" s="608" t="s">
        <v>129</v>
      </c>
      <c r="D135" s="608" t="s">
        <v>398</v>
      </c>
      <c r="E135" s="608" t="s">
        <v>399</v>
      </c>
      <c r="F135" s="581" t="s">
        <v>403</v>
      </c>
      <c r="G135" s="582" t="s">
        <v>404</v>
      </c>
      <c r="H135" s="583" t="s">
        <v>405</v>
      </c>
      <c r="I135" s="1425" t="s">
        <v>130</v>
      </c>
    </row>
    <row r="136" spans="1:15" x14ac:dyDescent="0.25">
      <c r="A136" s="1426" t="s">
        <v>1085</v>
      </c>
      <c r="B136" s="609" t="s">
        <v>131</v>
      </c>
      <c r="C136" s="846">
        <f t="shared" ref="C136:I145" si="8">+AVERAGEIFS(D$165:D$524,$B$165:$B$524,$A136,$C$165:$C$524,"&gt;="&amp;startup_year,$C$165:$C$524,"&lt;="&amp;(startup_year+anal_period))</f>
        <v>1092333.3333333333</v>
      </c>
      <c r="D136" s="847">
        <f t="shared" si="8"/>
        <v>1092000</v>
      </c>
      <c r="E136" s="848">
        <f t="shared" si="8"/>
        <v>3983.1111111111113</v>
      </c>
      <c r="F136" s="849">
        <f t="shared" si="8"/>
        <v>5.7637</v>
      </c>
      <c r="G136" s="849">
        <f t="shared" si="8"/>
        <v>0.18463255555555558</v>
      </c>
      <c r="H136" s="849">
        <f t="shared" si="8"/>
        <v>8.6144444444444441E-4</v>
      </c>
      <c r="I136" s="1427">
        <f t="shared" si="8"/>
        <v>11.590077777777779</v>
      </c>
    </row>
    <row r="137" spans="1:15" ht="16.5" customHeight="1" x14ac:dyDescent="0.25">
      <c r="A137" s="1428" t="s">
        <v>283</v>
      </c>
      <c r="B137" s="610" t="s">
        <v>131</v>
      </c>
      <c r="C137" s="850">
        <f t="shared" si="8"/>
        <v>1092333.3333333333</v>
      </c>
      <c r="D137" s="851">
        <f t="shared" si="8"/>
        <v>1092000</v>
      </c>
      <c r="E137" s="852">
        <f t="shared" si="8"/>
        <v>3983.1111111111113</v>
      </c>
      <c r="F137" s="853">
        <f t="shared" si="8"/>
        <v>5.7637</v>
      </c>
      <c r="G137" s="853">
        <f t="shared" si="8"/>
        <v>0.18463255555555558</v>
      </c>
      <c r="H137" s="853">
        <f t="shared" si="8"/>
        <v>8.6144444444444441E-4</v>
      </c>
      <c r="I137" s="1429">
        <f t="shared" si="8"/>
        <v>11.590077777777779</v>
      </c>
    </row>
    <row r="138" spans="1:15" x14ac:dyDescent="0.25">
      <c r="A138" s="1430" t="s">
        <v>1086</v>
      </c>
      <c r="B138" s="1418" t="s">
        <v>131</v>
      </c>
      <c r="C138" s="1419">
        <f t="shared" si="8"/>
        <v>1092333.3333333333</v>
      </c>
      <c r="D138" s="1420">
        <f t="shared" si="8"/>
        <v>1092000</v>
      </c>
      <c r="E138" s="1421">
        <f t="shared" si="8"/>
        <v>3983.1111111111113</v>
      </c>
      <c r="F138" s="1422">
        <f t="shared" si="8"/>
        <v>5.7637</v>
      </c>
      <c r="G138" s="1422">
        <f t="shared" si="8"/>
        <v>0.18463255555555558</v>
      </c>
      <c r="H138" s="1422">
        <f t="shared" si="8"/>
        <v>8.6144444444444441E-4</v>
      </c>
      <c r="I138" s="1431">
        <f t="shared" si="8"/>
        <v>11.590077777777779</v>
      </c>
    </row>
    <row r="139" spans="1:15" x14ac:dyDescent="0.25">
      <c r="A139" s="1428" t="s">
        <v>681</v>
      </c>
      <c r="B139" s="611" t="s">
        <v>131</v>
      </c>
      <c r="C139" s="851">
        <f t="shared" si="8"/>
        <v>1092333.3333333333</v>
      </c>
      <c r="D139" s="851">
        <f t="shared" si="8"/>
        <v>1092000</v>
      </c>
      <c r="E139" s="851">
        <f t="shared" si="8"/>
        <v>3983.1111111111113</v>
      </c>
      <c r="F139" s="854">
        <f t="shared" si="8"/>
        <v>5.7637</v>
      </c>
      <c r="G139" s="853">
        <f t="shared" si="8"/>
        <v>0.18463255555555558</v>
      </c>
      <c r="H139" s="855">
        <f t="shared" si="8"/>
        <v>8.6144444444444441E-4</v>
      </c>
      <c r="I139" s="1429">
        <f t="shared" si="8"/>
        <v>11.590077777777779</v>
      </c>
    </row>
    <row r="140" spans="1:15" x14ac:dyDescent="0.25">
      <c r="A140" s="1428" t="s">
        <v>682</v>
      </c>
      <c r="B140" s="611" t="s">
        <v>1295</v>
      </c>
      <c r="C140" s="851">
        <f t="shared" si="8"/>
        <v>-1186000</v>
      </c>
      <c r="D140" s="851">
        <f t="shared" si="8"/>
        <v>0</v>
      </c>
      <c r="E140" s="851">
        <f t="shared" si="8"/>
        <v>0</v>
      </c>
      <c r="F140" s="854">
        <f t="shared" si="8"/>
        <v>-85.798888888888868</v>
      </c>
      <c r="G140" s="853">
        <f t="shared" si="8"/>
        <v>0.54695555555555553</v>
      </c>
      <c r="H140" s="855">
        <f t="shared" si="8"/>
        <v>-1.8301999999999997E-3</v>
      </c>
      <c r="I140" s="1429">
        <f t="shared" si="8"/>
        <v>-70.082222222222228</v>
      </c>
    </row>
    <row r="141" spans="1:15" x14ac:dyDescent="0.25">
      <c r="A141" s="1428" t="s">
        <v>683</v>
      </c>
      <c r="B141" s="611" t="s">
        <v>132</v>
      </c>
      <c r="C141" s="851">
        <f t="shared" si="8"/>
        <v>1787000</v>
      </c>
      <c r="D141" s="851">
        <f t="shared" si="8"/>
        <v>1370111.111111111</v>
      </c>
      <c r="E141" s="851">
        <f t="shared" si="8"/>
        <v>21116.666666666668</v>
      </c>
      <c r="F141" s="854">
        <f t="shared" si="8"/>
        <v>140.12111111111111</v>
      </c>
      <c r="G141" s="853">
        <f t="shared" si="8"/>
        <v>0.2125671111111111</v>
      </c>
      <c r="H141" s="855">
        <f t="shared" si="8"/>
        <v>2.0498222222222226E-3</v>
      </c>
      <c r="I141" s="1429">
        <f t="shared" si="8"/>
        <v>145.54777777777775</v>
      </c>
    </row>
    <row r="142" spans="1:15" x14ac:dyDescent="0.25">
      <c r="A142" s="1428" t="s">
        <v>698</v>
      </c>
      <c r="B142" s="611" t="s">
        <v>132</v>
      </c>
      <c r="C142" s="851">
        <f t="shared" si="8"/>
        <v>1787000</v>
      </c>
      <c r="D142" s="851">
        <f t="shared" si="8"/>
        <v>1370111.111111111</v>
      </c>
      <c r="E142" s="851">
        <f t="shared" si="8"/>
        <v>21116.666666666668</v>
      </c>
      <c r="F142" s="854">
        <f t="shared" si="8"/>
        <v>140.12111111111111</v>
      </c>
      <c r="G142" s="853">
        <f t="shared" si="8"/>
        <v>0.2125671111111111</v>
      </c>
      <c r="H142" s="855">
        <f t="shared" si="8"/>
        <v>2.0498222222222226E-3</v>
      </c>
      <c r="I142" s="1429">
        <f t="shared" si="8"/>
        <v>145.54777777777775</v>
      </c>
    </row>
    <row r="143" spans="1:15" x14ac:dyDescent="0.25">
      <c r="A143" s="1428" t="s">
        <v>684</v>
      </c>
      <c r="B143" s="611" t="s">
        <v>132</v>
      </c>
      <c r="C143" s="851">
        <f t="shared" si="8"/>
        <v>1787000</v>
      </c>
      <c r="D143" s="851">
        <f t="shared" si="8"/>
        <v>1370111.111111111</v>
      </c>
      <c r="E143" s="851">
        <f t="shared" si="8"/>
        <v>21116.666666666668</v>
      </c>
      <c r="F143" s="854">
        <f t="shared" si="8"/>
        <v>140.12111111111111</v>
      </c>
      <c r="G143" s="853">
        <f t="shared" si="8"/>
        <v>0.2125671111111111</v>
      </c>
      <c r="H143" s="855">
        <f t="shared" si="8"/>
        <v>2.0498222222222226E-3</v>
      </c>
      <c r="I143" s="1429">
        <f t="shared" si="8"/>
        <v>145.54777777777775</v>
      </c>
    </row>
    <row r="144" spans="1:15" x14ac:dyDescent="0.25">
      <c r="A144" s="1428" t="s">
        <v>1087</v>
      </c>
      <c r="B144" s="611" t="s">
        <v>133</v>
      </c>
      <c r="C144" s="851">
        <f t="shared" si="8"/>
        <v>1022000</v>
      </c>
      <c r="D144" s="851">
        <f t="shared" si="8"/>
        <v>1021000</v>
      </c>
      <c r="E144" s="851">
        <f t="shared" si="8"/>
        <v>15525.555555555555</v>
      </c>
      <c r="F144" s="854">
        <f t="shared" si="8"/>
        <v>1.7266111111111111</v>
      </c>
      <c r="G144" s="853">
        <f t="shared" si="8"/>
        <v>0.1409730933333333</v>
      </c>
      <c r="H144" s="855">
        <f t="shared" si="8"/>
        <v>3.3298666666666667E-5</v>
      </c>
      <c r="I144" s="1429">
        <f t="shared" si="8"/>
        <v>5.9858888888888888</v>
      </c>
    </row>
    <row r="145" spans="1:9" x14ac:dyDescent="0.25">
      <c r="A145" s="1428" t="s">
        <v>716</v>
      </c>
      <c r="B145" s="611" t="s">
        <v>133</v>
      </c>
      <c r="C145" s="851">
        <f t="shared" si="8"/>
        <v>1022000</v>
      </c>
      <c r="D145" s="851">
        <f t="shared" si="8"/>
        <v>1021000</v>
      </c>
      <c r="E145" s="851">
        <f t="shared" si="8"/>
        <v>15525.555555555555</v>
      </c>
      <c r="F145" s="854">
        <f t="shared" si="8"/>
        <v>1.7266111111111111</v>
      </c>
      <c r="G145" s="853">
        <f t="shared" si="8"/>
        <v>0.1409730933333333</v>
      </c>
      <c r="H145" s="855">
        <f t="shared" si="8"/>
        <v>3.3298666666666667E-5</v>
      </c>
      <c r="I145" s="1429">
        <f t="shared" si="8"/>
        <v>5.9858888888888888</v>
      </c>
    </row>
    <row r="146" spans="1:9" x14ac:dyDescent="0.25">
      <c r="A146" s="1428" t="s">
        <v>717</v>
      </c>
      <c r="B146" s="611" t="s">
        <v>133</v>
      </c>
      <c r="C146" s="851">
        <f t="shared" ref="C146:I153" si="9">+AVERAGEIFS(D$165:D$524,$B$165:$B$524,$A146,$C$165:$C$524,"&gt;="&amp;startup_year,$C$165:$C$524,"&lt;="&amp;(startup_year+anal_period))</f>
        <v>1022000</v>
      </c>
      <c r="D146" s="851">
        <f t="shared" si="9"/>
        <v>1021000</v>
      </c>
      <c r="E146" s="851">
        <f t="shared" si="9"/>
        <v>15525.555555555555</v>
      </c>
      <c r="F146" s="854">
        <f t="shared" si="9"/>
        <v>1.7266111111111111</v>
      </c>
      <c r="G146" s="853">
        <f t="shared" si="9"/>
        <v>0.1409730933333333</v>
      </c>
      <c r="H146" s="855">
        <f t="shared" si="9"/>
        <v>3.3298666666666667E-5</v>
      </c>
      <c r="I146" s="1429">
        <f t="shared" si="9"/>
        <v>5.9858888888888888</v>
      </c>
    </row>
    <row r="147" spans="1:9" x14ac:dyDescent="0.25">
      <c r="A147" s="1428" t="s">
        <v>912</v>
      </c>
      <c r="B147" s="611" t="s">
        <v>134</v>
      </c>
      <c r="C147" s="851">
        <f t="shared" si="9"/>
        <v>1209444.4444444445</v>
      </c>
      <c r="D147" s="851">
        <f t="shared" si="9"/>
        <v>1202666.6666666667</v>
      </c>
      <c r="E147" s="851">
        <f t="shared" si="9"/>
        <v>1052111.111111111</v>
      </c>
      <c r="F147" s="854">
        <f t="shared" si="9"/>
        <v>18.180666666666667</v>
      </c>
      <c r="G147" s="853">
        <f t="shared" si="9"/>
        <v>0.16397644444444445</v>
      </c>
      <c r="H147" s="855">
        <f t="shared" si="9"/>
        <v>2.936588888888889E-4</v>
      </c>
      <c r="I147" s="1429">
        <f t="shared" si="9"/>
        <v>23.206555555555557</v>
      </c>
    </row>
    <row r="148" spans="1:9" x14ac:dyDescent="0.25">
      <c r="A148" s="1428" t="s">
        <v>910</v>
      </c>
      <c r="B148" s="611" t="s">
        <v>1104</v>
      </c>
      <c r="C148" s="851">
        <f t="shared" si="9"/>
        <v>1592777.7777777778</v>
      </c>
      <c r="D148" s="851">
        <f t="shared" si="9"/>
        <v>700588.88888888888</v>
      </c>
      <c r="E148" s="851">
        <f t="shared" si="9"/>
        <v>286633.33333333331</v>
      </c>
      <c r="F148" s="854">
        <f t="shared" si="9"/>
        <v>38.703111111111113</v>
      </c>
      <c r="G148" s="853">
        <f t="shared" si="9"/>
        <v>0.1123</v>
      </c>
      <c r="H148" s="855">
        <f t="shared" si="9"/>
        <v>2.5603333333333339E-2</v>
      </c>
      <c r="I148" s="1429">
        <f t="shared" si="9"/>
        <v>45.774444444444448</v>
      </c>
    </row>
    <row r="149" spans="1:9" x14ac:dyDescent="0.25">
      <c r="A149" s="1428" t="s">
        <v>913</v>
      </c>
      <c r="B149" s="611" t="s">
        <v>134</v>
      </c>
      <c r="C149" s="851">
        <f t="shared" si="9"/>
        <v>1250222.2222222222</v>
      </c>
      <c r="D149" s="851">
        <f t="shared" si="9"/>
        <v>1242777.7777777778</v>
      </c>
      <c r="E149" s="851">
        <f t="shared" si="9"/>
        <v>1078333.3333333333</v>
      </c>
      <c r="F149" s="854">
        <f t="shared" si="9"/>
        <v>24.072999999999997</v>
      </c>
      <c r="G149" s="853">
        <f t="shared" si="9"/>
        <v>0.16967222222222225</v>
      </c>
      <c r="H149" s="855">
        <f t="shared" si="9"/>
        <v>3.8183666666666668E-4</v>
      </c>
      <c r="I149" s="1429">
        <f t="shared" si="9"/>
        <v>29.393666666666668</v>
      </c>
    </row>
    <row r="150" spans="1:9" x14ac:dyDescent="0.25">
      <c r="A150" s="1428" t="s">
        <v>1081</v>
      </c>
      <c r="B150" s="611" t="s">
        <v>1296</v>
      </c>
      <c r="C150" s="851">
        <f t="shared" si="9"/>
        <v>1190111.111111111</v>
      </c>
      <c r="D150" s="851">
        <f t="shared" si="9"/>
        <v>51895.555555555555</v>
      </c>
      <c r="E150" s="851">
        <f t="shared" si="9"/>
        <v>29306.666666666668</v>
      </c>
      <c r="F150" s="854">
        <f t="shared" si="9"/>
        <v>3.8090555555555556</v>
      </c>
      <c r="G150" s="853">
        <f t="shared" si="9"/>
        <v>8.4619555555555549E-3</v>
      </c>
      <c r="H150" s="855">
        <f t="shared" si="9"/>
        <v>-3.8254046666666669E-3</v>
      </c>
      <c r="I150" s="1429">
        <f t="shared" si="9"/>
        <v>3.0600888888888895</v>
      </c>
    </row>
    <row r="151" spans="1:9" x14ac:dyDescent="0.25">
      <c r="A151" s="1428" t="s">
        <v>815</v>
      </c>
      <c r="B151" s="611" t="s">
        <v>1296</v>
      </c>
      <c r="C151" s="851">
        <f t="shared" si="9"/>
        <v>1190111.111111111</v>
      </c>
      <c r="D151" s="851">
        <f t="shared" si="9"/>
        <v>51895.555555555555</v>
      </c>
      <c r="E151" s="851">
        <f t="shared" si="9"/>
        <v>29306.666666666668</v>
      </c>
      <c r="F151" s="854">
        <f t="shared" si="9"/>
        <v>3.8090555555555556</v>
      </c>
      <c r="G151" s="853">
        <f t="shared" si="9"/>
        <v>8.4619555555555549E-3</v>
      </c>
      <c r="H151" s="855">
        <f t="shared" si="9"/>
        <v>-3.8254046666666669E-3</v>
      </c>
      <c r="I151" s="1429">
        <f t="shared" si="9"/>
        <v>3.0600888888888895</v>
      </c>
    </row>
    <row r="152" spans="1:9" x14ac:dyDescent="0.25">
      <c r="A152" s="1428" t="s">
        <v>824</v>
      </c>
      <c r="B152" s="611" t="s">
        <v>1296</v>
      </c>
      <c r="C152" s="851">
        <f t="shared" si="9"/>
        <v>1190111.111111111</v>
      </c>
      <c r="D152" s="851">
        <f t="shared" si="9"/>
        <v>51895.555555555555</v>
      </c>
      <c r="E152" s="851">
        <f t="shared" si="9"/>
        <v>29306.666666666668</v>
      </c>
      <c r="F152" s="854">
        <f t="shared" si="9"/>
        <v>3.8090555555555556</v>
      </c>
      <c r="G152" s="853">
        <f t="shared" si="9"/>
        <v>8.4619555555555549E-3</v>
      </c>
      <c r="H152" s="855">
        <f t="shared" si="9"/>
        <v>-3.8254046666666669E-3</v>
      </c>
      <c r="I152" s="1429">
        <f t="shared" si="9"/>
        <v>3.0600888888888895</v>
      </c>
    </row>
    <row r="153" spans="1:9" ht="13" thickBot="1" x14ac:dyDescent="0.3">
      <c r="A153" s="1432" t="s">
        <v>1088</v>
      </c>
      <c r="B153" s="1433" t="s">
        <v>1297</v>
      </c>
      <c r="C153" s="1434">
        <f t="shared" si="9"/>
        <v>1384111.111111111</v>
      </c>
      <c r="D153" s="1434">
        <f t="shared" si="9"/>
        <v>1383222.2222222222</v>
      </c>
      <c r="E153" s="1434">
        <f t="shared" si="9"/>
        <v>5049.1111111111113</v>
      </c>
      <c r="F153" s="1435">
        <f t="shared" si="9"/>
        <v>78.603844444444448</v>
      </c>
      <c r="G153" s="1436">
        <f t="shared" si="9"/>
        <v>0.27492888888888889</v>
      </c>
      <c r="H153" s="1437">
        <f t="shared" si="9"/>
        <v>2.3310333333333333E-3</v>
      </c>
      <c r="I153" s="1438">
        <f t="shared" si="9"/>
        <v>87.627188888888881</v>
      </c>
    </row>
    <row r="162" spans="2:10" ht="13" thickBot="1" x14ac:dyDescent="0.3">
      <c r="B162" s="305" t="s">
        <v>1294</v>
      </c>
    </row>
    <row r="163" spans="2:10" ht="37.5" x14ac:dyDescent="0.25">
      <c r="D163" s="1400" t="s">
        <v>124</v>
      </c>
      <c r="E163" s="1401"/>
      <c r="F163" s="1402"/>
      <c r="G163" s="1400" t="s">
        <v>125</v>
      </c>
      <c r="H163" s="1401"/>
      <c r="I163" s="1401"/>
      <c r="J163" s="1402" t="s">
        <v>126</v>
      </c>
    </row>
    <row r="164" spans="2:10" ht="13.5" thickBot="1" x14ac:dyDescent="0.35">
      <c r="B164" s="1" t="s">
        <v>248</v>
      </c>
      <c r="C164" s="1" t="s">
        <v>1084</v>
      </c>
      <c r="D164" s="1403" t="s">
        <v>129</v>
      </c>
      <c r="E164" s="1404" t="s">
        <v>398</v>
      </c>
      <c r="F164" s="1405" t="s">
        <v>399</v>
      </c>
      <c r="G164" s="1403" t="s">
        <v>403</v>
      </c>
      <c r="H164" s="1404" t="s">
        <v>404</v>
      </c>
      <c r="I164" s="1404" t="s">
        <v>405</v>
      </c>
      <c r="J164" s="1405" t="s">
        <v>130</v>
      </c>
    </row>
    <row r="165" spans="2:10" x14ac:dyDescent="0.25">
      <c r="B165" s="1406" t="s">
        <v>1085</v>
      </c>
      <c r="C165" s="1407">
        <v>2005</v>
      </c>
      <c r="D165" s="1406">
        <v>1094000</v>
      </c>
      <c r="E165" s="1408">
        <v>1094000</v>
      </c>
      <c r="F165" s="1409">
        <v>4252</v>
      </c>
      <c r="G165" s="1406">
        <v>5.9984999999999999</v>
      </c>
      <c r="H165" s="1408">
        <v>0.18232600000000002</v>
      </c>
      <c r="I165" s="1408">
        <v>8.8801999999999994E-5</v>
      </c>
      <c r="J165" s="1409">
        <v>11.536999999999999</v>
      </c>
    </row>
    <row r="166" spans="2:10" x14ac:dyDescent="0.25">
      <c r="B166" s="1410" t="s">
        <v>283</v>
      </c>
      <c r="C166" s="1411">
        <v>2005</v>
      </c>
      <c r="D166" s="1410">
        <v>1094000</v>
      </c>
      <c r="E166" s="1412">
        <v>1094000</v>
      </c>
      <c r="F166" s="1413">
        <v>4252</v>
      </c>
      <c r="G166" s="1410">
        <v>5.9984999999999999</v>
      </c>
      <c r="H166" s="1412">
        <v>0.18232600000000002</v>
      </c>
      <c r="I166" s="1412">
        <v>8.8801999999999994E-5</v>
      </c>
      <c r="J166" s="1413">
        <v>11.536999999999999</v>
      </c>
    </row>
    <row r="167" spans="2:10" x14ac:dyDescent="0.25">
      <c r="B167" s="1410" t="s">
        <v>1086</v>
      </c>
      <c r="C167" s="1411">
        <v>2005</v>
      </c>
      <c r="D167" s="1410">
        <v>1094000</v>
      </c>
      <c r="E167" s="1412">
        <v>1094000</v>
      </c>
      <c r="F167" s="1413">
        <v>4252</v>
      </c>
      <c r="G167" s="1410">
        <v>5.9984999999999999</v>
      </c>
      <c r="H167" s="1412">
        <v>0.18232600000000002</v>
      </c>
      <c r="I167" s="1412">
        <v>8.8801999999999994E-5</v>
      </c>
      <c r="J167" s="1413">
        <v>11.536999999999999</v>
      </c>
    </row>
    <row r="168" spans="2:10" x14ac:dyDescent="0.25">
      <c r="B168" s="1410" t="s">
        <v>681</v>
      </c>
      <c r="C168" s="1411">
        <v>2005</v>
      </c>
      <c r="D168" s="1410">
        <v>1094000</v>
      </c>
      <c r="E168" s="1412">
        <v>1094000</v>
      </c>
      <c r="F168" s="1413">
        <v>4252</v>
      </c>
      <c r="G168" s="1410">
        <v>5.9984999999999999</v>
      </c>
      <c r="H168" s="1412">
        <v>0.18232600000000002</v>
      </c>
      <c r="I168" s="1412">
        <v>8.8801999999999994E-5</v>
      </c>
      <c r="J168" s="1413">
        <v>11.536999999999999</v>
      </c>
    </row>
    <row r="169" spans="2:10" x14ac:dyDescent="0.25">
      <c r="B169" s="1410" t="s">
        <v>682</v>
      </c>
      <c r="C169" s="1411">
        <v>2005</v>
      </c>
      <c r="D169" s="1410">
        <v>-1208000</v>
      </c>
      <c r="E169" s="1412">
        <v>0</v>
      </c>
      <c r="F169" s="1413">
        <v>0</v>
      </c>
      <c r="G169" s="1410">
        <v>-85.789999999999992</v>
      </c>
      <c r="H169" s="1412">
        <v>0.54689999999999994</v>
      </c>
      <c r="I169" s="1412">
        <v>-1.4884E-3</v>
      </c>
      <c r="J169" s="1413">
        <v>-70</v>
      </c>
    </row>
    <row r="170" spans="2:10" x14ac:dyDescent="0.25">
      <c r="B170" s="1410" t="s">
        <v>683</v>
      </c>
      <c r="C170" s="1411">
        <v>2005</v>
      </c>
      <c r="D170" s="1410">
        <v>2475000</v>
      </c>
      <c r="E170" s="1412">
        <v>2129000</v>
      </c>
      <c r="F170" s="1413">
        <v>124000</v>
      </c>
      <c r="G170" s="1410">
        <v>251.83</v>
      </c>
      <c r="H170" s="1412">
        <v>0.31369799999999998</v>
      </c>
      <c r="I170" s="1412">
        <v>3.6604999999999997E-3</v>
      </c>
      <c r="J170" s="1413">
        <v>255.85999999999999</v>
      </c>
    </row>
    <row r="171" spans="2:10" x14ac:dyDescent="0.25">
      <c r="B171" s="1410" t="s">
        <v>698</v>
      </c>
      <c r="C171" s="1411">
        <v>2005</v>
      </c>
      <c r="D171" s="1410">
        <v>2475000</v>
      </c>
      <c r="E171" s="1412">
        <v>2129000</v>
      </c>
      <c r="F171" s="1413">
        <v>124000</v>
      </c>
      <c r="G171" s="1410">
        <v>251.83</v>
      </c>
      <c r="H171" s="1412">
        <v>0.31369799999999998</v>
      </c>
      <c r="I171" s="1412">
        <v>3.6604999999999997E-3</v>
      </c>
      <c r="J171" s="1413">
        <v>255.85999999999999</v>
      </c>
    </row>
    <row r="172" spans="2:10" x14ac:dyDescent="0.25">
      <c r="B172" s="1410" t="s">
        <v>684</v>
      </c>
      <c r="C172" s="1411">
        <v>2005</v>
      </c>
      <c r="D172" s="1410">
        <v>2475000</v>
      </c>
      <c r="E172" s="1412">
        <v>2129000</v>
      </c>
      <c r="F172" s="1413">
        <v>124000</v>
      </c>
      <c r="G172" s="1410">
        <v>251.83</v>
      </c>
      <c r="H172" s="1412">
        <v>0.31369799999999998</v>
      </c>
      <c r="I172" s="1412">
        <v>3.6604999999999997E-3</v>
      </c>
      <c r="J172" s="1413">
        <v>255.85999999999999</v>
      </c>
    </row>
    <row r="173" spans="2:10" x14ac:dyDescent="0.25">
      <c r="B173" s="1410" t="s">
        <v>1087</v>
      </c>
      <c r="C173" s="1411">
        <v>2005</v>
      </c>
      <c r="D173" s="1410">
        <v>1023000</v>
      </c>
      <c r="E173" s="1412">
        <v>1022000</v>
      </c>
      <c r="F173" s="1413">
        <v>15840</v>
      </c>
      <c r="G173" s="1410">
        <v>1.9352</v>
      </c>
      <c r="H173" s="1412">
        <v>0.14136591000000001</v>
      </c>
      <c r="I173" s="1412">
        <v>3.6392E-5</v>
      </c>
      <c r="J173" s="1413">
        <v>6.2023000000000001</v>
      </c>
    </row>
    <row r="174" spans="2:10" x14ac:dyDescent="0.25">
      <c r="B174" s="1410" t="s">
        <v>716</v>
      </c>
      <c r="C174" s="1411">
        <v>2005</v>
      </c>
      <c r="D174" s="1410">
        <v>1023000</v>
      </c>
      <c r="E174" s="1412">
        <v>1022000</v>
      </c>
      <c r="F174" s="1413">
        <v>15840</v>
      </c>
      <c r="G174" s="1410">
        <v>1.9352</v>
      </c>
      <c r="H174" s="1412">
        <v>0.14136591000000001</v>
      </c>
      <c r="I174" s="1412">
        <v>3.6392E-5</v>
      </c>
      <c r="J174" s="1413">
        <v>6.2023000000000001</v>
      </c>
    </row>
    <row r="175" spans="2:10" x14ac:dyDescent="0.25">
      <c r="B175" s="1410" t="s">
        <v>717</v>
      </c>
      <c r="C175" s="1411">
        <v>2005</v>
      </c>
      <c r="D175" s="1410">
        <v>1023000</v>
      </c>
      <c r="E175" s="1412">
        <v>1022000</v>
      </c>
      <c r="F175" s="1413">
        <v>15840</v>
      </c>
      <c r="G175" s="1410">
        <v>1.9352</v>
      </c>
      <c r="H175" s="1412">
        <v>0.14136591000000001</v>
      </c>
      <c r="I175" s="1412">
        <v>3.6392E-5</v>
      </c>
      <c r="J175" s="1413">
        <v>6.2023000000000001</v>
      </c>
    </row>
    <row r="176" spans="2:10" x14ac:dyDescent="0.25">
      <c r="B176" s="1410" t="s">
        <v>912</v>
      </c>
      <c r="C176" s="1411">
        <v>2005</v>
      </c>
      <c r="D176" s="1410">
        <v>1205000</v>
      </c>
      <c r="E176" s="1412">
        <v>1200000</v>
      </c>
      <c r="F176" s="1413">
        <v>1056000</v>
      </c>
      <c r="G176" s="1410">
        <v>18.433</v>
      </c>
      <c r="H176" s="1412">
        <v>0.18217</v>
      </c>
      <c r="I176" s="1412">
        <v>2.0549999999999998E-4</v>
      </c>
      <c r="J176" s="1413">
        <v>23.908999999999999</v>
      </c>
    </row>
    <row r="177" spans="2:10" x14ac:dyDescent="0.25">
      <c r="B177" s="1410" t="s">
        <v>910</v>
      </c>
      <c r="C177" s="1411">
        <v>2005</v>
      </c>
      <c r="D177" s="1410">
        <v>1760000</v>
      </c>
      <c r="E177" s="1412">
        <v>783400</v>
      </c>
      <c r="F177" s="1413">
        <v>307400</v>
      </c>
      <c r="G177" s="1410">
        <v>47.923999999999999</v>
      </c>
      <c r="H177" s="1412">
        <v>0.13161500000000001</v>
      </c>
      <c r="I177" s="1412">
        <v>3.3619999999999997E-2</v>
      </c>
      <c r="J177" s="1413">
        <v>56.43</v>
      </c>
    </row>
    <row r="178" spans="2:10" x14ac:dyDescent="0.25">
      <c r="B178" s="1410" t="s">
        <v>913</v>
      </c>
      <c r="C178" s="1411">
        <v>2005</v>
      </c>
      <c r="D178" s="1410">
        <v>1248000</v>
      </c>
      <c r="E178" s="1412">
        <v>1242000</v>
      </c>
      <c r="F178" s="1413">
        <v>1084000</v>
      </c>
      <c r="G178" s="1410">
        <v>24.465</v>
      </c>
      <c r="H178" s="1412">
        <v>0.18840200000000001</v>
      </c>
      <c r="I178" s="1412">
        <v>2.7361999999999997E-4</v>
      </c>
      <c r="J178" s="1413">
        <v>30.237000000000002</v>
      </c>
    </row>
    <row r="179" spans="2:10" x14ac:dyDescent="0.25">
      <c r="B179" s="1410" t="s">
        <v>1081</v>
      </c>
      <c r="C179" s="1411">
        <v>2005</v>
      </c>
      <c r="D179" s="1410">
        <v>1195000</v>
      </c>
      <c r="E179" s="1412">
        <v>56800</v>
      </c>
      <c r="F179" s="1413">
        <v>32280</v>
      </c>
      <c r="G179" s="1410">
        <v>4.3339999999999996</v>
      </c>
      <c r="H179" s="1412">
        <v>9.434399999999999E-3</v>
      </c>
      <c r="I179" s="1412">
        <v>-3.8369229999999999E-3</v>
      </c>
      <c r="J179" s="1413">
        <v>3.6147</v>
      </c>
    </row>
    <row r="180" spans="2:10" x14ac:dyDescent="0.25">
      <c r="B180" s="1410" t="s">
        <v>815</v>
      </c>
      <c r="C180" s="1411">
        <v>2005</v>
      </c>
      <c r="D180" s="1410">
        <v>1195000</v>
      </c>
      <c r="E180" s="1412">
        <v>56800</v>
      </c>
      <c r="F180" s="1413">
        <v>32280</v>
      </c>
      <c r="G180" s="1410">
        <v>4.3339999999999996</v>
      </c>
      <c r="H180" s="1412">
        <v>9.434399999999999E-3</v>
      </c>
      <c r="I180" s="1412">
        <v>-3.8369229999999999E-3</v>
      </c>
      <c r="J180" s="1413">
        <v>3.6147</v>
      </c>
    </row>
    <row r="181" spans="2:10" x14ac:dyDescent="0.25">
      <c r="B181" s="1410" t="s">
        <v>824</v>
      </c>
      <c r="C181" s="1411">
        <v>2005</v>
      </c>
      <c r="D181" s="1410">
        <v>1195000</v>
      </c>
      <c r="E181" s="1412">
        <v>56800</v>
      </c>
      <c r="F181" s="1413">
        <v>32280</v>
      </c>
      <c r="G181" s="1410">
        <v>4.3339999999999996</v>
      </c>
      <c r="H181" s="1412">
        <v>9.434399999999999E-3</v>
      </c>
      <c r="I181" s="1412">
        <v>-3.8369229999999999E-3</v>
      </c>
      <c r="J181" s="1413">
        <v>3.6147</v>
      </c>
    </row>
    <row r="182" spans="2:10" ht="13" thickBot="1" x14ac:dyDescent="0.3">
      <c r="B182" s="1414" t="s">
        <v>1088</v>
      </c>
      <c r="C182" s="1415">
        <v>2005</v>
      </c>
      <c r="D182" s="1414">
        <v>1387000</v>
      </c>
      <c r="E182" s="1416">
        <v>1386000</v>
      </c>
      <c r="F182" s="1417">
        <v>5427</v>
      </c>
      <c r="G182" s="1414">
        <v>78.934799999999996</v>
      </c>
      <c r="H182" s="1416">
        <v>0.27050000000000002</v>
      </c>
      <c r="I182" s="1416">
        <v>1.418723E-3</v>
      </c>
      <c r="J182" s="1417">
        <v>87.571399999999997</v>
      </c>
    </row>
    <row r="183" spans="2:10" x14ac:dyDescent="0.25">
      <c r="B183" s="1406" t="s">
        <v>1085</v>
      </c>
      <c r="C183" s="1407">
        <v>2010</v>
      </c>
      <c r="D183" s="1406">
        <v>1094000</v>
      </c>
      <c r="E183" s="1408">
        <v>1093000</v>
      </c>
      <c r="F183" s="1409">
        <v>4104</v>
      </c>
      <c r="G183" s="1406">
        <v>5.9177</v>
      </c>
      <c r="H183" s="1408">
        <v>0.18431800000000001</v>
      </c>
      <c r="I183" s="1408">
        <v>8.6370000000000001E-4</v>
      </c>
      <c r="J183" s="1409">
        <v>11.7387</v>
      </c>
    </row>
    <row r="184" spans="2:10" x14ac:dyDescent="0.25">
      <c r="B184" s="1410" t="s">
        <v>283</v>
      </c>
      <c r="C184" s="1411">
        <v>2010</v>
      </c>
      <c r="D184" s="1410">
        <v>1094000</v>
      </c>
      <c r="E184" s="1412">
        <v>1093000</v>
      </c>
      <c r="F184" s="1413">
        <v>4104</v>
      </c>
      <c r="G184" s="1410">
        <v>5.9177</v>
      </c>
      <c r="H184" s="1412">
        <v>0.18431800000000001</v>
      </c>
      <c r="I184" s="1412">
        <v>8.6370000000000001E-4</v>
      </c>
      <c r="J184" s="1413">
        <v>11.7387</v>
      </c>
    </row>
    <row r="185" spans="2:10" x14ac:dyDescent="0.25">
      <c r="B185" s="1410" t="s">
        <v>1086</v>
      </c>
      <c r="C185" s="1411">
        <v>2010</v>
      </c>
      <c r="D185" s="1410">
        <v>1094000</v>
      </c>
      <c r="E185" s="1412">
        <v>1093000</v>
      </c>
      <c r="F185" s="1413">
        <v>4104</v>
      </c>
      <c r="G185" s="1410">
        <v>5.9177</v>
      </c>
      <c r="H185" s="1412">
        <v>0.18431800000000001</v>
      </c>
      <c r="I185" s="1412">
        <v>8.6370000000000001E-4</v>
      </c>
      <c r="J185" s="1413">
        <v>11.7387</v>
      </c>
    </row>
    <row r="186" spans="2:10" x14ac:dyDescent="0.25">
      <c r="B186" s="1410" t="s">
        <v>681</v>
      </c>
      <c r="C186" s="1411">
        <v>2010</v>
      </c>
      <c r="D186" s="1410">
        <v>1094000</v>
      </c>
      <c r="E186" s="1412">
        <v>1093000</v>
      </c>
      <c r="F186" s="1413">
        <v>4104</v>
      </c>
      <c r="G186" s="1410">
        <v>5.9177</v>
      </c>
      <c r="H186" s="1412">
        <v>0.18431800000000001</v>
      </c>
      <c r="I186" s="1412">
        <v>8.6370000000000001E-4</v>
      </c>
      <c r="J186" s="1413">
        <v>11.7387</v>
      </c>
    </row>
    <row r="187" spans="2:10" x14ac:dyDescent="0.25">
      <c r="B187" s="1410" t="s">
        <v>682</v>
      </c>
      <c r="C187" s="1411">
        <v>2010</v>
      </c>
      <c r="D187" s="1410">
        <v>-1208000</v>
      </c>
      <c r="E187" s="1412">
        <v>0</v>
      </c>
      <c r="F187" s="1413">
        <v>0</v>
      </c>
      <c r="G187" s="1410">
        <v>-85.789999999999992</v>
      </c>
      <c r="H187" s="1412">
        <v>0.54600000000000004</v>
      </c>
      <c r="I187" s="1412">
        <v>-1.8614999999999999E-3</v>
      </c>
      <c r="J187" s="1413">
        <v>-70.12</v>
      </c>
    </row>
    <row r="188" spans="2:10" x14ac:dyDescent="0.25">
      <c r="B188" s="1410" t="s">
        <v>683</v>
      </c>
      <c r="C188" s="1411">
        <v>2010</v>
      </c>
      <c r="D188" s="1410">
        <v>2254000</v>
      </c>
      <c r="E188" s="1412">
        <v>1938000</v>
      </c>
      <c r="F188" s="1413">
        <v>52730</v>
      </c>
      <c r="G188" s="1410">
        <v>220.67</v>
      </c>
      <c r="H188" s="1412">
        <v>0.288267</v>
      </c>
      <c r="I188" s="1412">
        <v>3.4012000000000001E-3</v>
      </c>
      <c r="J188" s="1413">
        <v>228.91000000000003</v>
      </c>
    </row>
    <row r="189" spans="2:10" x14ac:dyDescent="0.25">
      <c r="B189" s="1410" t="s">
        <v>698</v>
      </c>
      <c r="C189" s="1411">
        <v>2010</v>
      </c>
      <c r="D189" s="1410">
        <v>2254000</v>
      </c>
      <c r="E189" s="1412">
        <v>1938000</v>
      </c>
      <c r="F189" s="1413">
        <v>52730</v>
      </c>
      <c r="G189" s="1410">
        <v>220.67</v>
      </c>
      <c r="H189" s="1412">
        <v>0.288267</v>
      </c>
      <c r="I189" s="1412">
        <v>3.4012000000000001E-3</v>
      </c>
      <c r="J189" s="1413">
        <v>228.91000000000003</v>
      </c>
    </row>
    <row r="190" spans="2:10" x14ac:dyDescent="0.25">
      <c r="B190" s="1410" t="s">
        <v>684</v>
      </c>
      <c r="C190" s="1411">
        <v>2010</v>
      </c>
      <c r="D190" s="1410">
        <v>2254000</v>
      </c>
      <c r="E190" s="1412">
        <v>1938000</v>
      </c>
      <c r="F190" s="1413">
        <v>52730</v>
      </c>
      <c r="G190" s="1410">
        <v>220.67</v>
      </c>
      <c r="H190" s="1412">
        <v>0.288267</v>
      </c>
      <c r="I190" s="1412">
        <v>3.4012000000000001E-3</v>
      </c>
      <c r="J190" s="1413">
        <v>228.91000000000003</v>
      </c>
    </row>
    <row r="191" spans="2:10" x14ac:dyDescent="0.25">
      <c r="B191" s="1410" t="s">
        <v>1087</v>
      </c>
      <c r="C191" s="1411">
        <v>2010</v>
      </c>
      <c r="D191" s="1410">
        <v>1023000</v>
      </c>
      <c r="E191" s="1412">
        <v>1022000</v>
      </c>
      <c r="F191" s="1413">
        <v>15710</v>
      </c>
      <c r="G191" s="1410">
        <v>1.8761000000000001</v>
      </c>
      <c r="H191" s="1412">
        <v>0.14136795000000002</v>
      </c>
      <c r="I191" s="1412">
        <v>3.5802E-5</v>
      </c>
      <c r="J191" s="1413">
        <v>6.1511000000000005</v>
      </c>
    </row>
    <row r="192" spans="2:10" x14ac:dyDescent="0.25">
      <c r="B192" s="1410" t="s">
        <v>716</v>
      </c>
      <c r="C192" s="1411">
        <v>2010</v>
      </c>
      <c r="D192" s="1410">
        <v>1023000</v>
      </c>
      <c r="E192" s="1412">
        <v>1022000</v>
      </c>
      <c r="F192" s="1413">
        <v>15710</v>
      </c>
      <c r="G192" s="1410">
        <v>1.8761000000000001</v>
      </c>
      <c r="H192" s="1412">
        <v>0.14136795000000002</v>
      </c>
      <c r="I192" s="1412">
        <v>3.5802E-5</v>
      </c>
      <c r="J192" s="1413">
        <v>6.1511000000000005</v>
      </c>
    </row>
    <row r="193" spans="2:10" x14ac:dyDescent="0.25">
      <c r="B193" s="1410" t="s">
        <v>717</v>
      </c>
      <c r="C193" s="1411">
        <v>2010</v>
      </c>
      <c r="D193" s="1410">
        <v>1023000</v>
      </c>
      <c r="E193" s="1412">
        <v>1022000</v>
      </c>
      <c r="F193" s="1413">
        <v>15710</v>
      </c>
      <c r="G193" s="1410">
        <v>1.8761000000000001</v>
      </c>
      <c r="H193" s="1412">
        <v>0.14136795000000002</v>
      </c>
      <c r="I193" s="1412">
        <v>3.5802E-5</v>
      </c>
      <c r="J193" s="1413">
        <v>6.1511000000000005</v>
      </c>
    </row>
    <row r="194" spans="2:10" x14ac:dyDescent="0.25">
      <c r="B194" s="1410" t="s">
        <v>912</v>
      </c>
      <c r="C194" s="1411">
        <v>2010</v>
      </c>
      <c r="D194" s="1410">
        <v>1206000</v>
      </c>
      <c r="E194" s="1412">
        <v>1201000</v>
      </c>
      <c r="F194" s="1413">
        <v>1056000</v>
      </c>
      <c r="G194" s="1410">
        <v>18.166999999999998</v>
      </c>
      <c r="H194" s="1412">
        <v>0.18199899999999999</v>
      </c>
      <c r="I194" s="1412">
        <v>2.9639E-4</v>
      </c>
      <c r="J194" s="1413">
        <v>23.741999999999997</v>
      </c>
    </row>
    <row r="195" spans="2:10" x14ac:dyDescent="0.25">
      <c r="B195" s="1410" t="s">
        <v>910</v>
      </c>
      <c r="C195" s="1411">
        <v>2010</v>
      </c>
      <c r="D195" s="1410">
        <v>1687000</v>
      </c>
      <c r="E195" s="1412">
        <v>740000</v>
      </c>
      <c r="F195" s="1413">
        <v>297100</v>
      </c>
      <c r="G195" s="1410">
        <v>42.921999999999997</v>
      </c>
      <c r="H195" s="1412">
        <v>0.12687100000000001</v>
      </c>
      <c r="I195" s="1412">
        <v>2.955E-2</v>
      </c>
      <c r="J195" s="1413">
        <v>50.54</v>
      </c>
    </row>
    <row r="196" spans="2:10" x14ac:dyDescent="0.25">
      <c r="B196" s="1410" t="s">
        <v>913</v>
      </c>
      <c r="C196" s="1411">
        <v>2010</v>
      </c>
      <c r="D196" s="1410">
        <v>1248000</v>
      </c>
      <c r="E196" s="1412">
        <v>1242000</v>
      </c>
      <c r="F196" s="1413">
        <v>1083000</v>
      </c>
      <c r="G196" s="1410">
        <v>24.158999999999999</v>
      </c>
      <c r="H196" s="1412">
        <v>0.18823500000000001</v>
      </c>
      <c r="I196" s="1412">
        <v>3.8572999999999998E-4</v>
      </c>
      <c r="J196" s="1413">
        <v>30.041</v>
      </c>
    </row>
    <row r="197" spans="2:10" x14ac:dyDescent="0.25">
      <c r="B197" s="1410" t="s">
        <v>1081</v>
      </c>
      <c r="C197" s="1411">
        <v>2010</v>
      </c>
      <c r="D197" s="1410">
        <v>1194000</v>
      </c>
      <c r="E197" s="1412">
        <v>56320</v>
      </c>
      <c r="F197" s="1413">
        <v>32080</v>
      </c>
      <c r="G197" s="1410">
        <v>4.2514000000000003</v>
      </c>
      <c r="H197" s="1412">
        <v>9.6048000000000001E-3</v>
      </c>
      <c r="I197" s="1412">
        <v>-3.820487E-3</v>
      </c>
      <c r="J197" s="1413">
        <v>3.5488999999999997</v>
      </c>
    </row>
    <row r="198" spans="2:10" x14ac:dyDescent="0.25">
      <c r="B198" s="1410" t="s">
        <v>815</v>
      </c>
      <c r="C198" s="1411">
        <v>2010</v>
      </c>
      <c r="D198" s="1410">
        <v>1194000</v>
      </c>
      <c r="E198" s="1412">
        <v>56320</v>
      </c>
      <c r="F198" s="1413">
        <v>32080</v>
      </c>
      <c r="G198" s="1410">
        <v>4.2514000000000003</v>
      </c>
      <c r="H198" s="1412">
        <v>9.6048000000000001E-3</v>
      </c>
      <c r="I198" s="1412">
        <v>-3.820487E-3</v>
      </c>
      <c r="J198" s="1413">
        <v>3.5488999999999997</v>
      </c>
    </row>
    <row r="199" spans="2:10" x14ac:dyDescent="0.25">
      <c r="B199" s="1410" t="s">
        <v>824</v>
      </c>
      <c r="C199" s="1411">
        <v>2010</v>
      </c>
      <c r="D199" s="1410">
        <v>1194000</v>
      </c>
      <c r="E199" s="1412">
        <v>56320</v>
      </c>
      <c r="F199" s="1413">
        <v>32080</v>
      </c>
      <c r="G199" s="1410">
        <v>4.2514000000000003</v>
      </c>
      <c r="H199" s="1412">
        <v>9.6048000000000001E-3</v>
      </c>
      <c r="I199" s="1412">
        <v>-3.820487E-3</v>
      </c>
      <c r="J199" s="1413">
        <v>3.5488999999999997</v>
      </c>
    </row>
    <row r="200" spans="2:10" ht="13" thickBot="1" x14ac:dyDescent="0.3">
      <c r="B200" s="1414" t="s">
        <v>1088</v>
      </c>
      <c r="C200" s="1415">
        <v>2010</v>
      </c>
      <c r="D200" s="1414">
        <v>1386000</v>
      </c>
      <c r="E200" s="1416">
        <v>1385000</v>
      </c>
      <c r="F200" s="1417">
        <v>5215</v>
      </c>
      <c r="G200" s="1414">
        <v>78.8352</v>
      </c>
      <c r="H200" s="1416">
        <v>0.27453</v>
      </c>
      <c r="I200" s="1416">
        <v>2.3346E-3</v>
      </c>
      <c r="J200" s="1417">
        <v>87.848799999999997</v>
      </c>
    </row>
    <row r="201" spans="2:10" x14ac:dyDescent="0.25">
      <c r="B201" s="1406" t="s">
        <v>1085</v>
      </c>
      <c r="C201" s="1407">
        <v>2015</v>
      </c>
      <c r="D201" s="1406">
        <v>1093000</v>
      </c>
      <c r="E201" s="1408">
        <v>1092000</v>
      </c>
      <c r="F201" s="1409">
        <v>4020</v>
      </c>
      <c r="G201" s="1406">
        <v>5.8287000000000004</v>
      </c>
      <c r="H201" s="1408">
        <v>0.18472100000000002</v>
      </c>
      <c r="I201" s="1408">
        <v>8.6249999999999999E-4</v>
      </c>
      <c r="J201" s="1409">
        <v>11.659600000000001</v>
      </c>
    </row>
    <row r="202" spans="2:10" x14ac:dyDescent="0.25">
      <c r="B202" s="1410" t="s">
        <v>283</v>
      </c>
      <c r="C202" s="1411">
        <v>2015</v>
      </c>
      <c r="D202" s="1410">
        <v>1093000</v>
      </c>
      <c r="E202" s="1412">
        <v>1092000</v>
      </c>
      <c r="F202" s="1413">
        <v>4020</v>
      </c>
      <c r="G202" s="1410">
        <v>5.8287000000000004</v>
      </c>
      <c r="H202" s="1412">
        <v>0.18472100000000002</v>
      </c>
      <c r="I202" s="1412">
        <v>8.6249999999999999E-4</v>
      </c>
      <c r="J202" s="1413">
        <v>11.659600000000001</v>
      </c>
    </row>
    <row r="203" spans="2:10" x14ac:dyDescent="0.25">
      <c r="B203" s="1410" t="s">
        <v>1086</v>
      </c>
      <c r="C203" s="1411">
        <v>2015</v>
      </c>
      <c r="D203" s="1410">
        <v>1093000</v>
      </c>
      <c r="E203" s="1412">
        <v>1092000</v>
      </c>
      <c r="F203" s="1413">
        <v>4020</v>
      </c>
      <c r="G203" s="1410">
        <v>5.8287000000000004</v>
      </c>
      <c r="H203" s="1412">
        <v>0.18472100000000002</v>
      </c>
      <c r="I203" s="1412">
        <v>8.6249999999999999E-4</v>
      </c>
      <c r="J203" s="1413">
        <v>11.659600000000001</v>
      </c>
    </row>
    <row r="204" spans="2:10" x14ac:dyDescent="0.25">
      <c r="B204" s="1410" t="s">
        <v>681</v>
      </c>
      <c r="C204" s="1411">
        <v>2015</v>
      </c>
      <c r="D204" s="1410">
        <v>1093000</v>
      </c>
      <c r="E204" s="1412">
        <v>1092000</v>
      </c>
      <c r="F204" s="1413">
        <v>4020</v>
      </c>
      <c r="G204" s="1410">
        <v>5.8287000000000004</v>
      </c>
      <c r="H204" s="1412">
        <v>0.18472100000000002</v>
      </c>
      <c r="I204" s="1412">
        <v>8.6249999999999999E-4</v>
      </c>
      <c r="J204" s="1413">
        <v>11.659600000000001</v>
      </c>
    </row>
    <row r="205" spans="2:10" x14ac:dyDescent="0.25">
      <c r="B205" s="1410" t="s">
        <v>682</v>
      </c>
      <c r="C205" s="1411">
        <v>2015</v>
      </c>
      <c r="D205" s="1410">
        <v>-1194000</v>
      </c>
      <c r="E205" s="1412">
        <v>0</v>
      </c>
      <c r="F205" s="1413">
        <v>0</v>
      </c>
      <c r="G205" s="1410">
        <v>-85.789999999999992</v>
      </c>
      <c r="H205" s="1412">
        <v>0.54659999999999997</v>
      </c>
      <c r="I205" s="1412">
        <v>-1.8422E-3</v>
      </c>
      <c r="J205" s="1413">
        <v>-70.099999999999994</v>
      </c>
    </row>
    <row r="206" spans="2:10" x14ac:dyDescent="0.25">
      <c r="B206" s="1410" t="s">
        <v>683</v>
      </c>
      <c r="C206" s="1411">
        <v>2015</v>
      </c>
      <c r="D206" s="1410">
        <v>2038000</v>
      </c>
      <c r="E206" s="1412">
        <v>1688000</v>
      </c>
      <c r="F206" s="1413">
        <v>38920</v>
      </c>
      <c r="G206" s="1410">
        <v>180.61</v>
      </c>
      <c r="H206" s="1412">
        <v>0.25748300000000002</v>
      </c>
      <c r="I206" s="1412">
        <v>2.7356999999999998E-3</v>
      </c>
      <c r="J206" s="1413">
        <v>187.32</v>
      </c>
    </row>
    <row r="207" spans="2:10" x14ac:dyDescent="0.25">
      <c r="B207" s="1410" t="s">
        <v>698</v>
      </c>
      <c r="C207" s="1411">
        <v>2015</v>
      </c>
      <c r="D207" s="1410">
        <v>2038000</v>
      </c>
      <c r="E207" s="1412">
        <v>1688000</v>
      </c>
      <c r="F207" s="1413">
        <v>38920</v>
      </c>
      <c r="G207" s="1410">
        <v>180.61</v>
      </c>
      <c r="H207" s="1412">
        <v>0.25748300000000002</v>
      </c>
      <c r="I207" s="1412">
        <v>2.7356999999999998E-3</v>
      </c>
      <c r="J207" s="1413">
        <v>187.32</v>
      </c>
    </row>
    <row r="208" spans="2:10" x14ac:dyDescent="0.25">
      <c r="B208" s="1410" t="s">
        <v>684</v>
      </c>
      <c r="C208" s="1411">
        <v>2015</v>
      </c>
      <c r="D208" s="1410">
        <v>2038000</v>
      </c>
      <c r="E208" s="1412">
        <v>1688000</v>
      </c>
      <c r="F208" s="1413">
        <v>38920</v>
      </c>
      <c r="G208" s="1410">
        <v>180.61</v>
      </c>
      <c r="H208" s="1412">
        <v>0.25748300000000002</v>
      </c>
      <c r="I208" s="1412">
        <v>2.7356999999999998E-3</v>
      </c>
      <c r="J208" s="1413">
        <v>187.32</v>
      </c>
    </row>
    <row r="209" spans="2:10" x14ac:dyDescent="0.25">
      <c r="B209" s="1410" t="s">
        <v>1087</v>
      </c>
      <c r="C209" s="1411">
        <v>2015</v>
      </c>
      <c r="D209" s="1410">
        <v>1022000</v>
      </c>
      <c r="E209" s="1412">
        <v>1021000</v>
      </c>
      <c r="F209" s="1413">
        <v>15590</v>
      </c>
      <c r="G209" s="1410">
        <v>1.8048999999999999</v>
      </c>
      <c r="H209" s="1412">
        <v>0.14106285999999998</v>
      </c>
      <c r="I209" s="1412">
        <v>3.4603000000000001E-5</v>
      </c>
      <c r="J209" s="1413">
        <v>6.0683999999999996</v>
      </c>
    </row>
    <row r="210" spans="2:10" x14ac:dyDescent="0.25">
      <c r="B210" s="1410" t="s">
        <v>716</v>
      </c>
      <c r="C210" s="1411">
        <v>2015</v>
      </c>
      <c r="D210" s="1410">
        <v>1022000</v>
      </c>
      <c r="E210" s="1412">
        <v>1021000</v>
      </c>
      <c r="F210" s="1413">
        <v>15590</v>
      </c>
      <c r="G210" s="1410">
        <v>1.8048999999999999</v>
      </c>
      <c r="H210" s="1412">
        <v>0.14106285999999998</v>
      </c>
      <c r="I210" s="1412">
        <v>3.4603000000000001E-5</v>
      </c>
      <c r="J210" s="1413">
        <v>6.0683999999999996</v>
      </c>
    </row>
    <row r="211" spans="2:10" x14ac:dyDescent="0.25">
      <c r="B211" s="1410" t="s">
        <v>717</v>
      </c>
      <c r="C211" s="1411">
        <v>2015</v>
      </c>
      <c r="D211" s="1410">
        <v>1022000</v>
      </c>
      <c r="E211" s="1412">
        <v>1021000</v>
      </c>
      <c r="F211" s="1413">
        <v>15590</v>
      </c>
      <c r="G211" s="1410">
        <v>1.8048999999999999</v>
      </c>
      <c r="H211" s="1412">
        <v>0.14106285999999998</v>
      </c>
      <c r="I211" s="1412">
        <v>3.4603000000000001E-5</v>
      </c>
      <c r="J211" s="1413">
        <v>6.0683999999999996</v>
      </c>
    </row>
    <row r="212" spans="2:10" x14ac:dyDescent="0.25">
      <c r="B212" s="1410" t="s">
        <v>912</v>
      </c>
      <c r="C212" s="1411">
        <v>2015</v>
      </c>
      <c r="D212" s="1410">
        <v>1210000</v>
      </c>
      <c r="E212" s="1412">
        <v>1204000</v>
      </c>
      <c r="F212" s="1413">
        <v>1053000</v>
      </c>
      <c r="G212" s="1410">
        <v>18.527999999999999</v>
      </c>
      <c r="H212" s="1412">
        <v>0.16494200000000001</v>
      </c>
      <c r="I212" s="1412">
        <v>2.9771000000000002E-4</v>
      </c>
      <c r="J212" s="1413">
        <v>23.579000000000001</v>
      </c>
    </row>
    <row r="213" spans="2:10" x14ac:dyDescent="0.25">
      <c r="B213" s="1410" t="s">
        <v>910</v>
      </c>
      <c r="C213" s="1411">
        <v>2015</v>
      </c>
      <c r="D213" s="1410">
        <v>1642000</v>
      </c>
      <c r="E213" s="1412">
        <v>724000</v>
      </c>
      <c r="F213" s="1413">
        <v>290600</v>
      </c>
      <c r="G213" s="1410">
        <v>41.042999999999999</v>
      </c>
      <c r="H213" s="1412">
        <v>0.1162</v>
      </c>
      <c r="I213" s="1412">
        <v>2.7609999999999999E-2</v>
      </c>
      <c r="J213" s="1413">
        <v>48.36</v>
      </c>
    </row>
    <row r="214" spans="2:10" x14ac:dyDescent="0.25">
      <c r="B214" s="1410" t="s">
        <v>913</v>
      </c>
      <c r="C214" s="1411">
        <v>2015</v>
      </c>
      <c r="D214" s="1410">
        <v>1252000</v>
      </c>
      <c r="E214" s="1412">
        <v>1245000</v>
      </c>
      <c r="F214" s="1413">
        <v>1081000</v>
      </c>
      <c r="G214" s="1410">
        <v>24.462</v>
      </c>
      <c r="H214" s="1412">
        <v>0.17067199999999999</v>
      </c>
      <c r="I214" s="1412">
        <v>3.8633E-4</v>
      </c>
      <c r="J214" s="1413">
        <v>29.811999999999998</v>
      </c>
    </row>
    <row r="215" spans="2:10" x14ac:dyDescent="0.25">
      <c r="B215" s="1410" t="s">
        <v>1081</v>
      </c>
      <c r="C215" s="1411">
        <v>2015</v>
      </c>
      <c r="D215" s="1410">
        <v>1191000</v>
      </c>
      <c r="E215" s="1412">
        <v>53390</v>
      </c>
      <c r="F215" s="1413">
        <v>29910</v>
      </c>
      <c r="G215" s="1410">
        <v>3.9701</v>
      </c>
      <c r="H215" s="1412">
        <v>8.6864999999999998E-3</v>
      </c>
      <c r="I215" s="1412">
        <v>-3.8232459999999998E-3</v>
      </c>
      <c r="J215" s="1413">
        <v>3.2326999999999999</v>
      </c>
    </row>
    <row r="216" spans="2:10" x14ac:dyDescent="0.25">
      <c r="B216" s="1410" t="s">
        <v>815</v>
      </c>
      <c r="C216" s="1411">
        <v>2015</v>
      </c>
      <c r="D216" s="1410">
        <v>1191000</v>
      </c>
      <c r="E216" s="1412">
        <v>53390</v>
      </c>
      <c r="F216" s="1413">
        <v>29910</v>
      </c>
      <c r="G216" s="1410">
        <v>3.9701</v>
      </c>
      <c r="H216" s="1412">
        <v>8.6864999999999998E-3</v>
      </c>
      <c r="I216" s="1412">
        <v>-3.8232459999999998E-3</v>
      </c>
      <c r="J216" s="1413">
        <v>3.2326999999999999</v>
      </c>
    </row>
    <row r="217" spans="2:10" x14ac:dyDescent="0.25">
      <c r="B217" s="1410" t="s">
        <v>824</v>
      </c>
      <c r="C217" s="1411">
        <v>2015</v>
      </c>
      <c r="D217" s="1410">
        <v>1191000</v>
      </c>
      <c r="E217" s="1412">
        <v>53390</v>
      </c>
      <c r="F217" s="1413">
        <v>29910</v>
      </c>
      <c r="G217" s="1410">
        <v>3.9701</v>
      </c>
      <c r="H217" s="1412">
        <v>8.6864999999999998E-3</v>
      </c>
      <c r="I217" s="1412">
        <v>-3.8232459999999998E-3</v>
      </c>
      <c r="J217" s="1413">
        <v>3.2326999999999999</v>
      </c>
    </row>
    <row r="218" spans="2:10" ht="13" thickBot="1" x14ac:dyDescent="0.3">
      <c r="B218" s="1414" t="s">
        <v>1088</v>
      </c>
      <c r="C218" s="1415">
        <v>2015</v>
      </c>
      <c r="D218" s="1414">
        <v>1385000</v>
      </c>
      <c r="E218" s="1416">
        <v>1384000</v>
      </c>
      <c r="F218" s="1417">
        <v>5105</v>
      </c>
      <c r="G218" s="1414">
        <v>78.707400000000007</v>
      </c>
      <c r="H218" s="1416">
        <v>0.27494000000000002</v>
      </c>
      <c r="I218" s="1416">
        <v>2.3330999999999998E-3</v>
      </c>
      <c r="J218" s="1417">
        <v>87.730800000000002</v>
      </c>
    </row>
    <row r="219" spans="2:10" x14ac:dyDescent="0.25">
      <c r="B219" s="1406" t="s">
        <v>1085</v>
      </c>
      <c r="C219" s="1407">
        <v>2020</v>
      </c>
      <c r="D219" s="1406">
        <v>1093000</v>
      </c>
      <c r="E219" s="1408">
        <v>1092000</v>
      </c>
      <c r="F219" s="1409">
        <v>3993</v>
      </c>
      <c r="G219" s="1406">
        <v>5.7995000000000001</v>
      </c>
      <c r="H219" s="1408">
        <v>0.18462100000000001</v>
      </c>
      <c r="I219" s="1408">
        <v>8.6209999999999998E-4</v>
      </c>
      <c r="J219" s="1409">
        <v>11.6227</v>
      </c>
    </row>
    <row r="220" spans="2:10" x14ac:dyDescent="0.25">
      <c r="B220" s="1410" t="s">
        <v>283</v>
      </c>
      <c r="C220" s="1411">
        <v>2020</v>
      </c>
      <c r="D220" s="1410">
        <v>1093000</v>
      </c>
      <c r="E220" s="1412">
        <v>1092000</v>
      </c>
      <c r="F220" s="1413">
        <v>3993</v>
      </c>
      <c r="G220" s="1410">
        <v>5.7995000000000001</v>
      </c>
      <c r="H220" s="1412">
        <v>0.18462100000000001</v>
      </c>
      <c r="I220" s="1412">
        <v>8.6209999999999998E-4</v>
      </c>
      <c r="J220" s="1413">
        <v>11.6227</v>
      </c>
    </row>
    <row r="221" spans="2:10" x14ac:dyDescent="0.25">
      <c r="B221" s="1410" t="s">
        <v>1086</v>
      </c>
      <c r="C221" s="1411">
        <v>2020</v>
      </c>
      <c r="D221" s="1410">
        <v>1093000</v>
      </c>
      <c r="E221" s="1412">
        <v>1092000</v>
      </c>
      <c r="F221" s="1413">
        <v>3993</v>
      </c>
      <c r="G221" s="1410">
        <v>5.7995000000000001</v>
      </c>
      <c r="H221" s="1412">
        <v>0.18462100000000001</v>
      </c>
      <c r="I221" s="1412">
        <v>8.6209999999999998E-4</v>
      </c>
      <c r="J221" s="1413">
        <v>11.6227</v>
      </c>
    </row>
    <row r="222" spans="2:10" x14ac:dyDescent="0.25">
      <c r="B222" s="1410" t="s">
        <v>681</v>
      </c>
      <c r="C222" s="1411">
        <v>2020</v>
      </c>
      <c r="D222" s="1410">
        <v>1093000</v>
      </c>
      <c r="E222" s="1412">
        <v>1092000</v>
      </c>
      <c r="F222" s="1413">
        <v>3993</v>
      </c>
      <c r="G222" s="1410">
        <v>5.7995000000000001</v>
      </c>
      <c r="H222" s="1412">
        <v>0.18462100000000001</v>
      </c>
      <c r="I222" s="1412">
        <v>8.6209999999999998E-4</v>
      </c>
      <c r="J222" s="1413">
        <v>11.6227</v>
      </c>
    </row>
    <row r="223" spans="2:10" x14ac:dyDescent="0.25">
      <c r="B223" s="1410" t="s">
        <v>682</v>
      </c>
      <c r="C223" s="1411">
        <v>2020</v>
      </c>
      <c r="D223" s="1410">
        <v>-1185000</v>
      </c>
      <c r="E223" s="1412">
        <v>0</v>
      </c>
      <c r="F223" s="1413">
        <v>0</v>
      </c>
      <c r="G223" s="1410">
        <v>-85.800000000000011</v>
      </c>
      <c r="H223" s="1412">
        <v>0.54700000000000004</v>
      </c>
      <c r="I223" s="1412">
        <v>-1.8286999999999999E-3</v>
      </c>
      <c r="J223" s="1413">
        <v>-70.08</v>
      </c>
    </row>
    <row r="224" spans="2:10" x14ac:dyDescent="0.25">
      <c r="B224" s="1410" t="s">
        <v>683</v>
      </c>
      <c r="C224" s="1411">
        <v>2020</v>
      </c>
      <c r="D224" s="1410">
        <v>1866000</v>
      </c>
      <c r="E224" s="1412">
        <v>1484000</v>
      </c>
      <c r="F224" s="1413">
        <v>26490</v>
      </c>
      <c r="G224" s="1410">
        <v>161.61000000000001</v>
      </c>
      <c r="H224" s="1412">
        <v>0.22423899999999999</v>
      </c>
      <c r="I224" s="1412">
        <v>2.4153E-3</v>
      </c>
      <c r="J224" s="1413">
        <v>168.06</v>
      </c>
    </row>
    <row r="225" spans="2:10" x14ac:dyDescent="0.25">
      <c r="B225" s="1410" t="s">
        <v>698</v>
      </c>
      <c r="C225" s="1411">
        <v>2020</v>
      </c>
      <c r="D225" s="1410">
        <v>1866000</v>
      </c>
      <c r="E225" s="1412">
        <v>1484000</v>
      </c>
      <c r="F225" s="1413">
        <v>26490</v>
      </c>
      <c r="G225" s="1410">
        <v>161.61000000000001</v>
      </c>
      <c r="H225" s="1412">
        <v>0.22423899999999999</v>
      </c>
      <c r="I225" s="1412">
        <v>2.4153E-3</v>
      </c>
      <c r="J225" s="1413">
        <v>168.06</v>
      </c>
    </row>
    <row r="226" spans="2:10" x14ac:dyDescent="0.25">
      <c r="B226" s="1410" t="s">
        <v>684</v>
      </c>
      <c r="C226" s="1411">
        <v>2020</v>
      </c>
      <c r="D226" s="1410">
        <v>1866000</v>
      </c>
      <c r="E226" s="1412">
        <v>1484000</v>
      </c>
      <c r="F226" s="1413">
        <v>26490</v>
      </c>
      <c r="G226" s="1410">
        <v>161.61000000000001</v>
      </c>
      <c r="H226" s="1412">
        <v>0.22423899999999999</v>
      </c>
      <c r="I226" s="1412">
        <v>2.4153E-3</v>
      </c>
      <c r="J226" s="1413">
        <v>168.06</v>
      </c>
    </row>
    <row r="227" spans="2:10" x14ac:dyDescent="0.25">
      <c r="B227" s="1410" t="s">
        <v>1087</v>
      </c>
      <c r="C227" s="1411">
        <v>2020</v>
      </c>
      <c r="D227" s="1410">
        <v>1022000</v>
      </c>
      <c r="E227" s="1412">
        <v>1021000</v>
      </c>
      <c r="F227" s="1413">
        <v>15530</v>
      </c>
      <c r="G227" s="1410">
        <v>1.7706</v>
      </c>
      <c r="H227" s="1412">
        <v>0.14096106</v>
      </c>
      <c r="I227" s="1412">
        <v>3.4058000000000005E-5</v>
      </c>
      <c r="J227" s="1413">
        <v>6.0322999999999993</v>
      </c>
    </row>
    <row r="228" spans="2:10" x14ac:dyDescent="0.25">
      <c r="B228" s="1410" t="s">
        <v>716</v>
      </c>
      <c r="C228" s="1411">
        <v>2020</v>
      </c>
      <c r="D228" s="1410">
        <v>1022000</v>
      </c>
      <c r="E228" s="1412">
        <v>1021000</v>
      </c>
      <c r="F228" s="1413">
        <v>15530</v>
      </c>
      <c r="G228" s="1410">
        <v>1.7706</v>
      </c>
      <c r="H228" s="1412">
        <v>0.14096106</v>
      </c>
      <c r="I228" s="1412">
        <v>3.4058000000000005E-5</v>
      </c>
      <c r="J228" s="1413">
        <v>6.0322999999999993</v>
      </c>
    </row>
    <row r="229" spans="2:10" x14ac:dyDescent="0.25">
      <c r="B229" s="1410" t="s">
        <v>717</v>
      </c>
      <c r="C229" s="1411">
        <v>2020</v>
      </c>
      <c r="D229" s="1410">
        <v>1022000</v>
      </c>
      <c r="E229" s="1412">
        <v>1021000</v>
      </c>
      <c r="F229" s="1413">
        <v>15530</v>
      </c>
      <c r="G229" s="1410">
        <v>1.7706</v>
      </c>
      <c r="H229" s="1412">
        <v>0.14096106</v>
      </c>
      <c r="I229" s="1412">
        <v>3.4058000000000005E-5</v>
      </c>
      <c r="J229" s="1413">
        <v>6.0322999999999993</v>
      </c>
    </row>
    <row r="230" spans="2:10" x14ac:dyDescent="0.25">
      <c r="B230" s="1410" t="s">
        <v>912</v>
      </c>
      <c r="C230" s="1411">
        <v>2020</v>
      </c>
      <c r="D230" s="1410">
        <v>1211000</v>
      </c>
      <c r="E230" s="1412">
        <v>1205000</v>
      </c>
      <c r="F230" s="1413">
        <v>1052000</v>
      </c>
      <c r="G230" s="1410">
        <v>18.605999999999998</v>
      </c>
      <c r="H230" s="1412">
        <v>0.162991</v>
      </c>
      <c r="I230" s="1412">
        <v>3.0018999999999998E-4</v>
      </c>
      <c r="J230" s="1413">
        <v>23.607999999999997</v>
      </c>
    </row>
    <row r="231" spans="2:10" x14ac:dyDescent="0.25">
      <c r="B231" s="1410" t="s">
        <v>910</v>
      </c>
      <c r="C231" s="1411">
        <v>2020</v>
      </c>
      <c r="D231" s="1410">
        <v>1591000</v>
      </c>
      <c r="E231" s="1412">
        <v>703100</v>
      </c>
      <c r="F231" s="1413">
        <v>286400</v>
      </c>
      <c r="G231" s="1410">
        <v>39.366999999999997</v>
      </c>
      <c r="H231" s="1412">
        <v>0.11210000000000001</v>
      </c>
      <c r="I231" s="1412">
        <v>2.5360000000000001E-2</v>
      </c>
      <c r="J231" s="1413">
        <v>46.16</v>
      </c>
    </row>
    <row r="232" spans="2:10" x14ac:dyDescent="0.25">
      <c r="B232" s="1410" t="s">
        <v>913</v>
      </c>
      <c r="C232" s="1411">
        <v>2020</v>
      </c>
      <c r="D232" s="1410">
        <v>1252000</v>
      </c>
      <c r="E232" s="1412">
        <v>1245000</v>
      </c>
      <c r="F232" s="1413">
        <v>1078000</v>
      </c>
      <c r="G232" s="1410">
        <v>24.533999999999999</v>
      </c>
      <c r="H232" s="1412">
        <v>0.16861900000000002</v>
      </c>
      <c r="I232" s="1412">
        <v>3.8906999999999999E-4</v>
      </c>
      <c r="J232" s="1413">
        <v>29.833999999999996</v>
      </c>
    </row>
    <row r="233" spans="2:10" x14ac:dyDescent="0.25">
      <c r="B233" s="1410" t="s">
        <v>1081</v>
      </c>
      <c r="C233" s="1411">
        <v>2020</v>
      </c>
      <c r="D233" s="1410">
        <v>1190000</v>
      </c>
      <c r="E233" s="1412">
        <v>52190</v>
      </c>
      <c r="F233" s="1413">
        <v>29260</v>
      </c>
      <c r="G233" s="1410">
        <v>3.8701999999999996</v>
      </c>
      <c r="H233" s="1412">
        <v>8.4535000000000009E-3</v>
      </c>
      <c r="I233" s="1412">
        <v>-3.824488E-3</v>
      </c>
      <c r="J233" s="1413">
        <v>3.1251000000000002</v>
      </c>
    </row>
    <row r="234" spans="2:10" x14ac:dyDescent="0.25">
      <c r="B234" s="1410" t="s">
        <v>815</v>
      </c>
      <c r="C234" s="1411">
        <v>2020</v>
      </c>
      <c r="D234" s="1410">
        <v>1190000</v>
      </c>
      <c r="E234" s="1412">
        <v>52190</v>
      </c>
      <c r="F234" s="1413">
        <v>29260</v>
      </c>
      <c r="G234" s="1410">
        <v>3.8701999999999996</v>
      </c>
      <c r="H234" s="1412">
        <v>8.4535000000000009E-3</v>
      </c>
      <c r="I234" s="1412">
        <v>-3.824488E-3</v>
      </c>
      <c r="J234" s="1413">
        <v>3.1251000000000002</v>
      </c>
    </row>
    <row r="235" spans="2:10" x14ac:dyDescent="0.25">
      <c r="B235" s="1410" t="s">
        <v>824</v>
      </c>
      <c r="C235" s="1411">
        <v>2020</v>
      </c>
      <c r="D235" s="1410">
        <v>1190000</v>
      </c>
      <c r="E235" s="1412">
        <v>52190</v>
      </c>
      <c r="F235" s="1413">
        <v>29260</v>
      </c>
      <c r="G235" s="1410">
        <v>3.8701999999999996</v>
      </c>
      <c r="H235" s="1412">
        <v>8.4535000000000009E-3</v>
      </c>
      <c r="I235" s="1412">
        <v>-3.824488E-3</v>
      </c>
      <c r="J235" s="1413">
        <v>3.1251000000000002</v>
      </c>
    </row>
    <row r="236" spans="2:10" ht="13" thickBot="1" x14ac:dyDescent="0.3">
      <c r="B236" s="1414" t="s">
        <v>1088</v>
      </c>
      <c r="C236" s="1415">
        <v>2020</v>
      </c>
      <c r="D236" s="1414">
        <v>1384000</v>
      </c>
      <c r="E236" s="1416">
        <v>1384000</v>
      </c>
      <c r="F236" s="1417">
        <v>5066</v>
      </c>
      <c r="G236" s="1414">
        <v>78.656899999999993</v>
      </c>
      <c r="H236" s="1416">
        <v>0.27494000000000002</v>
      </c>
      <c r="I236" s="1416">
        <v>2.3319E-3</v>
      </c>
      <c r="J236" s="1417">
        <v>87.680599999999998</v>
      </c>
    </row>
    <row r="237" spans="2:10" x14ac:dyDescent="0.25">
      <c r="B237" s="1406" t="s">
        <v>1085</v>
      </c>
      <c r="C237" s="1407">
        <v>2025</v>
      </c>
      <c r="D237" s="1406">
        <v>1093000</v>
      </c>
      <c r="E237" s="1408">
        <v>1092000</v>
      </c>
      <c r="F237" s="1409">
        <v>3984</v>
      </c>
      <c r="G237" s="1406">
        <v>5.7702</v>
      </c>
      <c r="H237" s="1408">
        <v>0.18462100000000001</v>
      </c>
      <c r="I237" s="1408">
        <v>8.6159999999999991E-4</v>
      </c>
      <c r="J237" s="1409">
        <v>11.5953</v>
      </c>
    </row>
    <row r="238" spans="2:10" x14ac:dyDescent="0.25">
      <c r="B238" s="1410" t="s">
        <v>283</v>
      </c>
      <c r="C238" s="1411">
        <v>2025</v>
      </c>
      <c r="D238" s="1410">
        <v>1093000</v>
      </c>
      <c r="E238" s="1412">
        <v>1092000</v>
      </c>
      <c r="F238" s="1413">
        <v>3984</v>
      </c>
      <c r="G238" s="1410">
        <v>5.7702</v>
      </c>
      <c r="H238" s="1412">
        <v>0.18462100000000001</v>
      </c>
      <c r="I238" s="1412">
        <v>8.6159999999999991E-4</v>
      </c>
      <c r="J238" s="1413">
        <v>11.5953</v>
      </c>
    </row>
    <row r="239" spans="2:10" x14ac:dyDescent="0.25">
      <c r="B239" s="1410" t="s">
        <v>1086</v>
      </c>
      <c r="C239" s="1411">
        <v>2025</v>
      </c>
      <c r="D239" s="1410">
        <v>1093000</v>
      </c>
      <c r="E239" s="1412">
        <v>1092000</v>
      </c>
      <c r="F239" s="1413">
        <v>3984</v>
      </c>
      <c r="G239" s="1410">
        <v>5.7702</v>
      </c>
      <c r="H239" s="1412">
        <v>0.18462100000000001</v>
      </c>
      <c r="I239" s="1412">
        <v>8.6159999999999991E-4</v>
      </c>
      <c r="J239" s="1413">
        <v>11.5953</v>
      </c>
    </row>
    <row r="240" spans="2:10" x14ac:dyDescent="0.25">
      <c r="B240" s="1410" t="s">
        <v>681</v>
      </c>
      <c r="C240" s="1411">
        <v>2025</v>
      </c>
      <c r="D240" s="1410">
        <v>1093000</v>
      </c>
      <c r="E240" s="1412">
        <v>1092000</v>
      </c>
      <c r="F240" s="1413">
        <v>3984</v>
      </c>
      <c r="G240" s="1410">
        <v>5.7702</v>
      </c>
      <c r="H240" s="1412">
        <v>0.18462100000000001</v>
      </c>
      <c r="I240" s="1412">
        <v>8.6159999999999991E-4</v>
      </c>
      <c r="J240" s="1413">
        <v>11.5953</v>
      </c>
    </row>
    <row r="241" spans="2:10" x14ac:dyDescent="0.25">
      <c r="B241" s="1410" t="s">
        <v>682</v>
      </c>
      <c r="C241" s="1411">
        <v>2025</v>
      </c>
      <c r="D241" s="1410">
        <v>-1185000</v>
      </c>
      <c r="E241" s="1412">
        <v>0</v>
      </c>
      <c r="F241" s="1413">
        <v>0</v>
      </c>
      <c r="G241" s="1410">
        <v>-85.800000000000011</v>
      </c>
      <c r="H241" s="1412">
        <v>0.54700000000000004</v>
      </c>
      <c r="I241" s="1412">
        <v>-1.8286999999999999E-3</v>
      </c>
      <c r="J241" s="1413">
        <v>-70.08</v>
      </c>
    </row>
    <row r="242" spans="2:10" x14ac:dyDescent="0.25">
      <c r="B242" s="1410" t="s">
        <v>683</v>
      </c>
      <c r="C242" s="1411">
        <v>2025</v>
      </c>
      <c r="D242" s="1410">
        <v>1787000</v>
      </c>
      <c r="E242" s="1412">
        <v>1356000</v>
      </c>
      <c r="F242" s="1413">
        <v>23200</v>
      </c>
      <c r="G242" s="1410">
        <v>145.11000000000001</v>
      </c>
      <c r="H242" s="1412">
        <v>0.20658799999999999</v>
      </c>
      <c r="I242" s="1412">
        <v>2.1538999999999998E-3</v>
      </c>
      <c r="J242" s="1413">
        <v>150.89999999999998</v>
      </c>
    </row>
    <row r="243" spans="2:10" x14ac:dyDescent="0.25">
      <c r="B243" s="1410" t="s">
        <v>698</v>
      </c>
      <c r="C243" s="1411">
        <v>2025</v>
      </c>
      <c r="D243" s="1410">
        <v>1787000</v>
      </c>
      <c r="E243" s="1412">
        <v>1356000</v>
      </c>
      <c r="F243" s="1413">
        <v>23200</v>
      </c>
      <c r="G243" s="1410">
        <v>145.11000000000001</v>
      </c>
      <c r="H243" s="1412">
        <v>0.20658799999999999</v>
      </c>
      <c r="I243" s="1412">
        <v>2.1538999999999998E-3</v>
      </c>
      <c r="J243" s="1413">
        <v>150.89999999999998</v>
      </c>
    </row>
    <row r="244" spans="2:10" x14ac:dyDescent="0.25">
      <c r="B244" s="1410" t="s">
        <v>684</v>
      </c>
      <c r="C244" s="1411">
        <v>2025</v>
      </c>
      <c r="D244" s="1410">
        <v>1787000</v>
      </c>
      <c r="E244" s="1412">
        <v>1356000</v>
      </c>
      <c r="F244" s="1413">
        <v>23200</v>
      </c>
      <c r="G244" s="1410">
        <v>145.11000000000001</v>
      </c>
      <c r="H244" s="1412">
        <v>0.20658799999999999</v>
      </c>
      <c r="I244" s="1412">
        <v>2.1538999999999998E-3</v>
      </c>
      <c r="J244" s="1413">
        <v>150.89999999999998</v>
      </c>
    </row>
    <row r="245" spans="2:10" x14ac:dyDescent="0.25">
      <c r="B245" s="1410" t="s">
        <v>1087</v>
      </c>
      <c r="C245" s="1411">
        <v>2025</v>
      </c>
      <c r="D245" s="1410">
        <v>1022000</v>
      </c>
      <c r="E245" s="1412">
        <v>1021000</v>
      </c>
      <c r="F245" s="1413">
        <v>15530</v>
      </c>
      <c r="G245" s="1410">
        <v>1.7374000000000001</v>
      </c>
      <c r="H245" s="1412">
        <v>0.14096106999999999</v>
      </c>
      <c r="I245" s="1412">
        <v>3.3522000000000002E-5</v>
      </c>
      <c r="J245" s="1413">
        <v>5.9969999999999999</v>
      </c>
    </row>
    <row r="246" spans="2:10" x14ac:dyDescent="0.25">
      <c r="B246" s="1410" t="s">
        <v>716</v>
      </c>
      <c r="C246" s="1411">
        <v>2025</v>
      </c>
      <c r="D246" s="1410">
        <v>1022000</v>
      </c>
      <c r="E246" s="1412">
        <v>1021000</v>
      </c>
      <c r="F246" s="1413">
        <v>15530</v>
      </c>
      <c r="G246" s="1410">
        <v>1.7374000000000001</v>
      </c>
      <c r="H246" s="1412">
        <v>0.14096106999999999</v>
      </c>
      <c r="I246" s="1412">
        <v>3.3522000000000002E-5</v>
      </c>
      <c r="J246" s="1413">
        <v>5.9969999999999999</v>
      </c>
    </row>
    <row r="247" spans="2:10" x14ac:dyDescent="0.25">
      <c r="B247" s="1410" t="s">
        <v>717</v>
      </c>
      <c r="C247" s="1411">
        <v>2025</v>
      </c>
      <c r="D247" s="1410">
        <v>1022000</v>
      </c>
      <c r="E247" s="1412">
        <v>1021000</v>
      </c>
      <c r="F247" s="1413">
        <v>15530</v>
      </c>
      <c r="G247" s="1410">
        <v>1.7374000000000001</v>
      </c>
      <c r="H247" s="1412">
        <v>0.14096106999999999</v>
      </c>
      <c r="I247" s="1412">
        <v>3.3522000000000002E-5</v>
      </c>
      <c r="J247" s="1413">
        <v>5.9969999999999999</v>
      </c>
    </row>
    <row r="248" spans="2:10" x14ac:dyDescent="0.25">
      <c r="B248" s="1410" t="s">
        <v>912</v>
      </c>
      <c r="C248" s="1411">
        <v>2025</v>
      </c>
      <c r="D248" s="1410">
        <v>1210000</v>
      </c>
      <c r="E248" s="1412">
        <v>1203000</v>
      </c>
      <c r="F248" s="1413">
        <v>1052000</v>
      </c>
      <c r="G248" s="1410">
        <v>18.323</v>
      </c>
      <c r="H248" s="1412">
        <v>0.16309799999999999</v>
      </c>
      <c r="I248" s="1412">
        <v>2.9605000000000001E-4</v>
      </c>
      <c r="J248" s="1413">
        <v>23.334</v>
      </c>
    </row>
    <row r="249" spans="2:10" x14ac:dyDescent="0.25">
      <c r="B249" s="1410" t="s">
        <v>910</v>
      </c>
      <c r="C249" s="1411">
        <v>2025</v>
      </c>
      <c r="D249" s="1410">
        <v>1588000</v>
      </c>
      <c r="E249" s="1412">
        <v>698600</v>
      </c>
      <c r="F249" s="1413">
        <v>286300</v>
      </c>
      <c r="G249" s="1410">
        <v>38.775999999999996</v>
      </c>
      <c r="H249" s="1412">
        <v>0.1116</v>
      </c>
      <c r="I249" s="1412">
        <v>2.5360000000000001E-2</v>
      </c>
      <c r="J249" s="1413">
        <v>45.71</v>
      </c>
    </row>
    <row r="250" spans="2:10" x14ac:dyDescent="0.25">
      <c r="B250" s="1410" t="s">
        <v>913</v>
      </c>
      <c r="C250" s="1411">
        <v>2025</v>
      </c>
      <c r="D250" s="1410">
        <v>1251000</v>
      </c>
      <c r="E250" s="1412">
        <v>1243000</v>
      </c>
      <c r="F250" s="1413">
        <v>1078000</v>
      </c>
      <c r="G250" s="1410">
        <v>24.223999999999997</v>
      </c>
      <c r="H250" s="1412">
        <v>0.16872600000000001</v>
      </c>
      <c r="I250" s="1412">
        <v>3.8451000000000002E-4</v>
      </c>
      <c r="J250" s="1413">
        <v>29.523000000000003</v>
      </c>
    </row>
    <row r="251" spans="2:10" x14ac:dyDescent="0.25">
      <c r="B251" s="1410" t="s">
        <v>1081</v>
      </c>
      <c r="C251" s="1411">
        <v>2025</v>
      </c>
      <c r="D251" s="1410">
        <v>1190000</v>
      </c>
      <c r="E251" s="1412">
        <v>51790</v>
      </c>
      <c r="F251" s="1413">
        <v>29250</v>
      </c>
      <c r="G251" s="1410">
        <v>3.8201000000000001</v>
      </c>
      <c r="H251" s="1412">
        <v>8.410599999999999E-3</v>
      </c>
      <c r="I251" s="1412">
        <v>-3.8247120000000001E-3</v>
      </c>
      <c r="J251" s="1413">
        <v>3.0718000000000001</v>
      </c>
    </row>
    <row r="252" spans="2:10" x14ac:dyDescent="0.25">
      <c r="B252" s="1410" t="s">
        <v>815</v>
      </c>
      <c r="C252" s="1411">
        <v>2025</v>
      </c>
      <c r="D252" s="1410">
        <v>1190000</v>
      </c>
      <c r="E252" s="1412">
        <v>51790</v>
      </c>
      <c r="F252" s="1413">
        <v>29250</v>
      </c>
      <c r="G252" s="1410">
        <v>3.8201000000000001</v>
      </c>
      <c r="H252" s="1412">
        <v>8.410599999999999E-3</v>
      </c>
      <c r="I252" s="1412">
        <v>-3.8247120000000001E-3</v>
      </c>
      <c r="J252" s="1413">
        <v>3.0718000000000001</v>
      </c>
    </row>
    <row r="253" spans="2:10" x14ac:dyDescent="0.25">
      <c r="B253" s="1410" t="s">
        <v>824</v>
      </c>
      <c r="C253" s="1411">
        <v>2025</v>
      </c>
      <c r="D253" s="1410">
        <v>1190000</v>
      </c>
      <c r="E253" s="1412">
        <v>51790</v>
      </c>
      <c r="F253" s="1413">
        <v>29250</v>
      </c>
      <c r="G253" s="1410">
        <v>3.8201000000000001</v>
      </c>
      <c r="H253" s="1412">
        <v>8.410599999999999E-3</v>
      </c>
      <c r="I253" s="1412">
        <v>-3.8247120000000001E-3</v>
      </c>
      <c r="J253" s="1413">
        <v>3.0718000000000001</v>
      </c>
    </row>
    <row r="254" spans="2:10" ht="13" thickBot="1" x14ac:dyDescent="0.3">
      <c r="B254" s="1414" t="s">
        <v>1088</v>
      </c>
      <c r="C254" s="1415">
        <v>2025</v>
      </c>
      <c r="D254" s="1414">
        <v>1384000</v>
      </c>
      <c r="E254" s="1416">
        <v>1383000</v>
      </c>
      <c r="F254" s="1417">
        <v>5053</v>
      </c>
      <c r="G254" s="1414">
        <v>78.616100000000003</v>
      </c>
      <c r="H254" s="1416">
        <v>0.27494000000000002</v>
      </c>
      <c r="I254" s="1416">
        <v>2.3316999999999999E-3</v>
      </c>
      <c r="J254" s="1417">
        <v>87.639700000000005</v>
      </c>
    </row>
    <row r="255" spans="2:10" x14ac:dyDescent="0.25">
      <c r="B255" s="1406" t="s">
        <v>1085</v>
      </c>
      <c r="C255" s="1407">
        <v>2030</v>
      </c>
      <c r="D255" s="1406">
        <v>1092000</v>
      </c>
      <c r="E255" s="1408">
        <v>1092000</v>
      </c>
      <c r="F255" s="1409">
        <v>3981</v>
      </c>
      <c r="G255" s="1406">
        <v>5.7552000000000003</v>
      </c>
      <c r="H255" s="1408">
        <v>0.18462100000000001</v>
      </c>
      <c r="I255" s="1408">
        <v>8.6129999999999996E-4</v>
      </c>
      <c r="J255" s="1409">
        <v>11.5802</v>
      </c>
    </row>
    <row r="256" spans="2:10" x14ac:dyDescent="0.25">
      <c r="B256" s="1410" t="s">
        <v>283</v>
      </c>
      <c r="C256" s="1411">
        <v>2030</v>
      </c>
      <c r="D256" s="1410">
        <v>1092000</v>
      </c>
      <c r="E256" s="1412">
        <v>1092000</v>
      </c>
      <c r="F256" s="1413">
        <v>3981</v>
      </c>
      <c r="G256" s="1410">
        <v>5.7552000000000003</v>
      </c>
      <c r="H256" s="1412">
        <v>0.18462100000000001</v>
      </c>
      <c r="I256" s="1412">
        <v>8.6129999999999996E-4</v>
      </c>
      <c r="J256" s="1413">
        <v>11.5802</v>
      </c>
    </row>
    <row r="257" spans="2:10" x14ac:dyDescent="0.25">
      <c r="B257" s="1410" t="s">
        <v>1086</v>
      </c>
      <c r="C257" s="1411">
        <v>2030</v>
      </c>
      <c r="D257" s="1410">
        <v>1092000</v>
      </c>
      <c r="E257" s="1412">
        <v>1092000</v>
      </c>
      <c r="F257" s="1413">
        <v>3981</v>
      </c>
      <c r="G257" s="1410">
        <v>5.7552000000000003</v>
      </c>
      <c r="H257" s="1412">
        <v>0.18462100000000001</v>
      </c>
      <c r="I257" s="1412">
        <v>8.6129999999999996E-4</v>
      </c>
      <c r="J257" s="1413">
        <v>11.5802</v>
      </c>
    </row>
    <row r="258" spans="2:10" x14ac:dyDescent="0.25">
      <c r="B258" s="1410" t="s">
        <v>681</v>
      </c>
      <c r="C258" s="1411">
        <v>2030</v>
      </c>
      <c r="D258" s="1410">
        <v>1092000</v>
      </c>
      <c r="E258" s="1412">
        <v>1092000</v>
      </c>
      <c r="F258" s="1413">
        <v>3981</v>
      </c>
      <c r="G258" s="1410">
        <v>5.7552000000000003</v>
      </c>
      <c r="H258" s="1412">
        <v>0.18462100000000001</v>
      </c>
      <c r="I258" s="1412">
        <v>8.6129999999999996E-4</v>
      </c>
      <c r="J258" s="1413">
        <v>11.5802</v>
      </c>
    </row>
    <row r="259" spans="2:10" x14ac:dyDescent="0.25">
      <c r="B259" s="1410" t="s">
        <v>682</v>
      </c>
      <c r="C259" s="1411">
        <v>2030</v>
      </c>
      <c r="D259" s="1410">
        <v>-1185000</v>
      </c>
      <c r="E259" s="1412">
        <v>0</v>
      </c>
      <c r="F259" s="1413">
        <v>0</v>
      </c>
      <c r="G259" s="1410">
        <v>-85.800000000000011</v>
      </c>
      <c r="H259" s="1412">
        <v>0.54700000000000004</v>
      </c>
      <c r="I259" s="1412">
        <v>-1.8286999999999999E-3</v>
      </c>
      <c r="J259" s="1413">
        <v>-70.08</v>
      </c>
    </row>
    <row r="260" spans="2:10" x14ac:dyDescent="0.25">
      <c r="B260" s="1410" t="s">
        <v>683</v>
      </c>
      <c r="C260" s="1411">
        <v>2030</v>
      </c>
      <c r="D260" s="1410">
        <v>1749000</v>
      </c>
      <c r="E260" s="1412">
        <v>1310000</v>
      </c>
      <c r="F260" s="1413">
        <v>19790</v>
      </c>
      <c r="G260" s="1410">
        <v>134.88</v>
      </c>
      <c r="H260" s="1412">
        <v>0.20275799999999999</v>
      </c>
      <c r="I260" s="1412">
        <v>1.9713E-3</v>
      </c>
      <c r="J260" s="1413">
        <v>140.09</v>
      </c>
    </row>
    <row r="261" spans="2:10" x14ac:dyDescent="0.25">
      <c r="B261" s="1410" t="s">
        <v>698</v>
      </c>
      <c r="C261" s="1411">
        <v>2030</v>
      </c>
      <c r="D261" s="1410">
        <v>1749000</v>
      </c>
      <c r="E261" s="1412">
        <v>1310000</v>
      </c>
      <c r="F261" s="1413">
        <v>19790</v>
      </c>
      <c r="G261" s="1410">
        <v>134.88</v>
      </c>
      <c r="H261" s="1412">
        <v>0.20275799999999999</v>
      </c>
      <c r="I261" s="1412">
        <v>1.9713E-3</v>
      </c>
      <c r="J261" s="1413">
        <v>140.09</v>
      </c>
    </row>
    <row r="262" spans="2:10" x14ac:dyDescent="0.25">
      <c r="B262" s="1410" t="s">
        <v>684</v>
      </c>
      <c r="C262" s="1411">
        <v>2030</v>
      </c>
      <c r="D262" s="1410">
        <v>1749000</v>
      </c>
      <c r="E262" s="1412">
        <v>1310000</v>
      </c>
      <c r="F262" s="1413">
        <v>19790</v>
      </c>
      <c r="G262" s="1410">
        <v>134.88</v>
      </c>
      <c r="H262" s="1412">
        <v>0.20275799999999999</v>
      </c>
      <c r="I262" s="1412">
        <v>1.9713E-3</v>
      </c>
      <c r="J262" s="1413">
        <v>140.09</v>
      </c>
    </row>
    <row r="263" spans="2:10" x14ac:dyDescent="0.25">
      <c r="B263" s="1410" t="s">
        <v>1087</v>
      </c>
      <c r="C263" s="1411">
        <v>2030</v>
      </c>
      <c r="D263" s="1410">
        <v>1022000</v>
      </c>
      <c r="E263" s="1412">
        <v>1021000</v>
      </c>
      <c r="F263" s="1413">
        <v>15520</v>
      </c>
      <c r="G263" s="1410">
        <v>1.716</v>
      </c>
      <c r="H263" s="1412">
        <v>0.14096175</v>
      </c>
      <c r="I263" s="1412">
        <v>3.3149000000000004E-5</v>
      </c>
      <c r="J263" s="1413">
        <v>5.9754000000000005</v>
      </c>
    </row>
    <row r="264" spans="2:10" x14ac:dyDescent="0.25">
      <c r="B264" s="1410" t="s">
        <v>716</v>
      </c>
      <c r="C264" s="1411">
        <v>2030</v>
      </c>
      <c r="D264" s="1410">
        <v>1022000</v>
      </c>
      <c r="E264" s="1412">
        <v>1021000</v>
      </c>
      <c r="F264" s="1413">
        <v>15520</v>
      </c>
      <c r="G264" s="1410">
        <v>1.716</v>
      </c>
      <c r="H264" s="1412">
        <v>0.14096175</v>
      </c>
      <c r="I264" s="1412">
        <v>3.3149000000000004E-5</v>
      </c>
      <c r="J264" s="1413">
        <v>5.9754000000000005</v>
      </c>
    </row>
    <row r="265" spans="2:10" x14ac:dyDescent="0.25">
      <c r="B265" s="1410" t="s">
        <v>717</v>
      </c>
      <c r="C265" s="1411">
        <v>2030</v>
      </c>
      <c r="D265" s="1410">
        <v>1022000</v>
      </c>
      <c r="E265" s="1412">
        <v>1021000</v>
      </c>
      <c r="F265" s="1413">
        <v>15520</v>
      </c>
      <c r="G265" s="1410">
        <v>1.716</v>
      </c>
      <c r="H265" s="1412">
        <v>0.14096175</v>
      </c>
      <c r="I265" s="1412">
        <v>3.3149000000000004E-5</v>
      </c>
      <c r="J265" s="1413">
        <v>5.9754000000000005</v>
      </c>
    </row>
    <row r="266" spans="2:10" x14ac:dyDescent="0.25">
      <c r="B266" s="1410" t="s">
        <v>912</v>
      </c>
      <c r="C266" s="1411">
        <v>2030</v>
      </c>
      <c r="D266" s="1410">
        <v>1209000</v>
      </c>
      <c r="E266" s="1412">
        <v>1202000</v>
      </c>
      <c r="F266" s="1413">
        <v>1052000</v>
      </c>
      <c r="G266" s="1410">
        <v>18.120999999999999</v>
      </c>
      <c r="H266" s="1412">
        <v>0.16412299999999999</v>
      </c>
      <c r="I266" s="1412">
        <v>2.9339999999999998E-4</v>
      </c>
      <c r="J266" s="1413">
        <v>23.162000000000003</v>
      </c>
    </row>
    <row r="267" spans="2:10" x14ac:dyDescent="0.25">
      <c r="B267" s="1410" t="s">
        <v>910</v>
      </c>
      <c r="C267" s="1411">
        <v>2030</v>
      </c>
      <c r="D267" s="1410">
        <v>1586000</v>
      </c>
      <c r="E267" s="1412">
        <v>697000</v>
      </c>
      <c r="F267" s="1413">
        <v>286200</v>
      </c>
      <c r="G267" s="1410">
        <v>38.404000000000003</v>
      </c>
      <c r="H267" s="1412">
        <v>0.1118</v>
      </c>
      <c r="I267" s="1412">
        <v>2.5350000000000001E-2</v>
      </c>
      <c r="J267" s="1413">
        <v>45.44</v>
      </c>
    </row>
    <row r="268" spans="2:10" x14ac:dyDescent="0.25">
      <c r="B268" s="1410" t="s">
        <v>913</v>
      </c>
      <c r="C268" s="1411">
        <v>2030</v>
      </c>
      <c r="D268" s="1410">
        <v>1250000</v>
      </c>
      <c r="E268" s="1412">
        <v>1242000</v>
      </c>
      <c r="F268" s="1413">
        <v>1078000</v>
      </c>
      <c r="G268" s="1410">
        <v>24.006999999999998</v>
      </c>
      <c r="H268" s="1412">
        <v>0.16975200000000001</v>
      </c>
      <c r="I268" s="1412">
        <v>3.8147000000000002E-4</v>
      </c>
      <c r="J268" s="1413">
        <v>29.335999999999999</v>
      </c>
    </row>
    <row r="269" spans="2:10" x14ac:dyDescent="0.25">
      <c r="B269" s="1410" t="s">
        <v>1081</v>
      </c>
      <c r="C269" s="1411">
        <v>2030</v>
      </c>
      <c r="D269" s="1410">
        <v>1190000</v>
      </c>
      <c r="E269" s="1412">
        <v>51650</v>
      </c>
      <c r="F269" s="1413">
        <v>29230</v>
      </c>
      <c r="G269" s="1410">
        <v>3.7881999999999998</v>
      </c>
      <c r="H269" s="1412">
        <v>8.4297E-3</v>
      </c>
      <c r="I269" s="1412">
        <v>-3.825901E-3</v>
      </c>
      <c r="J269" s="1413">
        <v>3.0377000000000001</v>
      </c>
    </row>
    <row r="270" spans="2:10" x14ac:dyDescent="0.25">
      <c r="B270" s="1410" t="s">
        <v>815</v>
      </c>
      <c r="C270" s="1411">
        <v>2030</v>
      </c>
      <c r="D270" s="1410">
        <v>1190000</v>
      </c>
      <c r="E270" s="1412">
        <v>51650</v>
      </c>
      <c r="F270" s="1413">
        <v>29230</v>
      </c>
      <c r="G270" s="1410">
        <v>3.7881999999999998</v>
      </c>
      <c r="H270" s="1412">
        <v>8.4297E-3</v>
      </c>
      <c r="I270" s="1412">
        <v>-3.825901E-3</v>
      </c>
      <c r="J270" s="1413">
        <v>3.0377000000000001</v>
      </c>
    </row>
    <row r="271" spans="2:10" x14ac:dyDescent="0.25">
      <c r="B271" s="1410" t="s">
        <v>824</v>
      </c>
      <c r="C271" s="1411">
        <v>2030</v>
      </c>
      <c r="D271" s="1410">
        <v>1190000</v>
      </c>
      <c r="E271" s="1412">
        <v>51650</v>
      </c>
      <c r="F271" s="1413">
        <v>29230</v>
      </c>
      <c r="G271" s="1410">
        <v>3.7881999999999998</v>
      </c>
      <c r="H271" s="1412">
        <v>8.4297E-3</v>
      </c>
      <c r="I271" s="1412">
        <v>-3.825901E-3</v>
      </c>
      <c r="J271" s="1413">
        <v>3.0377000000000001</v>
      </c>
    </row>
    <row r="272" spans="2:10" ht="13" thickBot="1" x14ac:dyDescent="0.3">
      <c r="B272" s="1414" t="s">
        <v>1088</v>
      </c>
      <c r="C272" s="1415">
        <v>2030</v>
      </c>
      <c r="D272" s="1414">
        <v>1384000</v>
      </c>
      <c r="E272" s="1416">
        <v>1383000</v>
      </c>
      <c r="F272" s="1417">
        <v>5048</v>
      </c>
      <c r="G272" s="1414">
        <v>78.598700000000008</v>
      </c>
      <c r="H272" s="1416">
        <v>0.27484000000000003</v>
      </c>
      <c r="I272" s="1416">
        <v>2.3306000000000004E-3</v>
      </c>
      <c r="J272" s="1417">
        <v>87.622100000000003</v>
      </c>
    </row>
    <row r="273" spans="2:10" x14ac:dyDescent="0.25">
      <c r="B273" s="1406" t="s">
        <v>1085</v>
      </c>
      <c r="C273" s="1407">
        <v>2035</v>
      </c>
      <c r="D273" s="1406">
        <v>1092000</v>
      </c>
      <c r="E273" s="1408">
        <v>1092000</v>
      </c>
      <c r="F273" s="1409">
        <v>3981</v>
      </c>
      <c r="G273" s="1406">
        <v>5.7552000000000003</v>
      </c>
      <c r="H273" s="1408">
        <v>0.18462100000000001</v>
      </c>
      <c r="I273" s="1408">
        <v>8.6129999999999996E-4</v>
      </c>
      <c r="J273" s="1409">
        <v>11.5802</v>
      </c>
    </row>
    <row r="274" spans="2:10" x14ac:dyDescent="0.25">
      <c r="B274" s="1410" t="s">
        <v>283</v>
      </c>
      <c r="C274" s="1411">
        <v>2035</v>
      </c>
      <c r="D274" s="1410">
        <v>1092000</v>
      </c>
      <c r="E274" s="1412">
        <v>1092000</v>
      </c>
      <c r="F274" s="1413">
        <v>3981</v>
      </c>
      <c r="G274" s="1410">
        <v>5.7552000000000003</v>
      </c>
      <c r="H274" s="1412">
        <v>0.18462100000000001</v>
      </c>
      <c r="I274" s="1412">
        <v>8.6129999999999996E-4</v>
      </c>
      <c r="J274" s="1413">
        <v>11.5802</v>
      </c>
    </row>
    <row r="275" spans="2:10" x14ac:dyDescent="0.25">
      <c r="B275" s="1410" t="s">
        <v>1086</v>
      </c>
      <c r="C275" s="1411">
        <v>2035</v>
      </c>
      <c r="D275" s="1410">
        <v>1092000</v>
      </c>
      <c r="E275" s="1412">
        <v>1092000</v>
      </c>
      <c r="F275" s="1413">
        <v>3981</v>
      </c>
      <c r="G275" s="1410">
        <v>5.7552000000000003</v>
      </c>
      <c r="H275" s="1412">
        <v>0.18462100000000001</v>
      </c>
      <c r="I275" s="1412">
        <v>8.6129999999999996E-4</v>
      </c>
      <c r="J275" s="1413">
        <v>11.5802</v>
      </c>
    </row>
    <row r="276" spans="2:10" x14ac:dyDescent="0.25">
      <c r="B276" s="1410" t="s">
        <v>681</v>
      </c>
      <c r="C276" s="1411">
        <v>2035</v>
      </c>
      <c r="D276" s="1410">
        <v>1092000</v>
      </c>
      <c r="E276" s="1412">
        <v>1092000</v>
      </c>
      <c r="F276" s="1413">
        <v>3981</v>
      </c>
      <c r="G276" s="1410">
        <v>5.7552000000000003</v>
      </c>
      <c r="H276" s="1412">
        <v>0.18462100000000001</v>
      </c>
      <c r="I276" s="1412">
        <v>8.6129999999999996E-4</v>
      </c>
      <c r="J276" s="1413">
        <v>11.5802</v>
      </c>
    </row>
    <row r="277" spans="2:10" x14ac:dyDescent="0.25">
      <c r="B277" s="1410" t="s">
        <v>682</v>
      </c>
      <c r="C277" s="1411">
        <v>2035</v>
      </c>
      <c r="D277" s="1410">
        <v>-1185000</v>
      </c>
      <c r="E277" s="1412">
        <v>0</v>
      </c>
      <c r="F277" s="1413">
        <v>0</v>
      </c>
      <c r="G277" s="1410">
        <v>-85.800000000000011</v>
      </c>
      <c r="H277" s="1412">
        <v>0.54700000000000004</v>
      </c>
      <c r="I277" s="1412">
        <v>-1.8286999999999999E-3</v>
      </c>
      <c r="J277" s="1413">
        <v>-70.08</v>
      </c>
    </row>
    <row r="278" spans="2:10" x14ac:dyDescent="0.25">
      <c r="B278" s="1410" t="s">
        <v>683</v>
      </c>
      <c r="C278" s="1411">
        <v>2035</v>
      </c>
      <c r="D278" s="1410">
        <v>1745000</v>
      </c>
      <c r="E278" s="1412">
        <v>1314000</v>
      </c>
      <c r="F278" s="1413">
        <v>18650</v>
      </c>
      <c r="G278" s="1410">
        <v>132.69</v>
      </c>
      <c r="H278" s="1412">
        <v>0.204869</v>
      </c>
      <c r="I278" s="1412">
        <v>1.9257999999999999E-3</v>
      </c>
      <c r="J278" s="1413">
        <v>137.91999999999999</v>
      </c>
    </row>
    <row r="279" spans="2:10" x14ac:dyDescent="0.25">
      <c r="B279" s="1410" t="s">
        <v>698</v>
      </c>
      <c r="C279" s="1411">
        <v>2035</v>
      </c>
      <c r="D279" s="1410">
        <v>1745000</v>
      </c>
      <c r="E279" s="1412">
        <v>1314000</v>
      </c>
      <c r="F279" s="1413">
        <v>18650</v>
      </c>
      <c r="G279" s="1410">
        <v>132.69</v>
      </c>
      <c r="H279" s="1412">
        <v>0.204869</v>
      </c>
      <c r="I279" s="1412">
        <v>1.9257999999999999E-3</v>
      </c>
      <c r="J279" s="1413">
        <v>137.91999999999999</v>
      </c>
    </row>
    <row r="280" spans="2:10" x14ac:dyDescent="0.25">
      <c r="B280" s="1410" t="s">
        <v>684</v>
      </c>
      <c r="C280" s="1411">
        <v>2035</v>
      </c>
      <c r="D280" s="1410">
        <v>1745000</v>
      </c>
      <c r="E280" s="1412">
        <v>1314000</v>
      </c>
      <c r="F280" s="1413">
        <v>18650</v>
      </c>
      <c r="G280" s="1410">
        <v>132.69</v>
      </c>
      <c r="H280" s="1412">
        <v>0.204869</v>
      </c>
      <c r="I280" s="1412">
        <v>1.9257999999999999E-3</v>
      </c>
      <c r="J280" s="1413">
        <v>137.91999999999999</v>
      </c>
    </row>
    <row r="281" spans="2:10" x14ac:dyDescent="0.25">
      <c r="B281" s="1410" t="s">
        <v>1087</v>
      </c>
      <c r="C281" s="1411">
        <v>2035</v>
      </c>
      <c r="D281" s="1410">
        <v>1022000</v>
      </c>
      <c r="E281" s="1412">
        <v>1021000</v>
      </c>
      <c r="F281" s="1413">
        <v>15520</v>
      </c>
      <c r="G281" s="1410">
        <v>1.7124999999999999</v>
      </c>
      <c r="H281" s="1412">
        <v>0.14096197999999999</v>
      </c>
      <c r="I281" s="1412">
        <v>3.3061000000000001E-5</v>
      </c>
      <c r="J281" s="1413">
        <v>5.9708000000000006</v>
      </c>
    </row>
    <row r="282" spans="2:10" x14ac:dyDescent="0.25">
      <c r="B282" s="1410" t="s">
        <v>716</v>
      </c>
      <c r="C282" s="1411">
        <v>2035</v>
      </c>
      <c r="D282" s="1410">
        <v>1022000</v>
      </c>
      <c r="E282" s="1412">
        <v>1021000</v>
      </c>
      <c r="F282" s="1413">
        <v>15520</v>
      </c>
      <c r="G282" s="1410">
        <v>1.7124999999999999</v>
      </c>
      <c r="H282" s="1412">
        <v>0.14096197999999999</v>
      </c>
      <c r="I282" s="1412">
        <v>3.3061000000000001E-5</v>
      </c>
      <c r="J282" s="1413">
        <v>5.9708000000000006</v>
      </c>
    </row>
    <row r="283" spans="2:10" x14ac:dyDescent="0.25">
      <c r="B283" s="1410" t="s">
        <v>717</v>
      </c>
      <c r="C283" s="1411">
        <v>2035</v>
      </c>
      <c r="D283" s="1410">
        <v>1022000</v>
      </c>
      <c r="E283" s="1412">
        <v>1021000</v>
      </c>
      <c r="F283" s="1413">
        <v>15520</v>
      </c>
      <c r="G283" s="1410">
        <v>1.7124999999999999</v>
      </c>
      <c r="H283" s="1412">
        <v>0.14096197999999999</v>
      </c>
      <c r="I283" s="1412">
        <v>3.3061000000000001E-5</v>
      </c>
      <c r="J283" s="1413">
        <v>5.9708000000000006</v>
      </c>
    </row>
    <row r="284" spans="2:10" x14ac:dyDescent="0.25">
      <c r="B284" s="1410" t="s">
        <v>912</v>
      </c>
      <c r="C284" s="1411">
        <v>2035</v>
      </c>
      <c r="D284" s="1410">
        <v>1209000</v>
      </c>
      <c r="E284" s="1412">
        <v>1202000</v>
      </c>
      <c r="F284" s="1413">
        <v>1052000</v>
      </c>
      <c r="G284" s="1410">
        <v>18.088999999999999</v>
      </c>
      <c r="H284" s="1412">
        <v>0.16412499999999999</v>
      </c>
      <c r="I284" s="1412">
        <v>2.9260000000000001E-4</v>
      </c>
      <c r="J284" s="1413">
        <v>23.119</v>
      </c>
    </row>
    <row r="285" spans="2:10" x14ac:dyDescent="0.25">
      <c r="B285" s="1410" t="s">
        <v>910</v>
      </c>
      <c r="C285" s="1411">
        <v>2035</v>
      </c>
      <c r="D285" s="1410">
        <v>1586000</v>
      </c>
      <c r="E285" s="1412">
        <v>697100</v>
      </c>
      <c r="F285" s="1413">
        <v>286100</v>
      </c>
      <c r="G285" s="1410">
        <v>38.326999999999998</v>
      </c>
      <c r="H285" s="1412">
        <v>0.1118</v>
      </c>
      <c r="I285" s="1412">
        <v>2.5350000000000001E-2</v>
      </c>
      <c r="J285" s="1413">
        <v>45.39</v>
      </c>
    </row>
    <row r="286" spans="2:10" x14ac:dyDescent="0.25">
      <c r="B286" s="1410" t="s">
        <v>913</v>
      </c>
      <c r="C286" s="1411">
        <v>2035</v>
      </c>
      <c r="D286" s="1410">
        <v>1250000</v>
      </c>
      <c r="E286" s="1412">
        <v>1242000</v>
      </c>
      <c r="F286" s="1413">
        <v>1078000</v>
      </c>
      <c r="G286" s="1410">
        <v>23.973999999999997</v>
      </c>
      <c r="H286" s="1412">
        <v>0.169854</v>
      </c>
      <c r="I286" s="1412">
        <v>3.8064000000000001E-4</v>
      </c>
      <c r="J286" s="1413">
        <v>29.302</v>
      </c>
    </row>
    <row r="287" spans="2:10" x14ac:dyDescent="0.25">
      <c r="B287" s="1410" t="s">
        <v>1081</v>
      </c>
      <c r="C287" s="1411">
        <v>2035</v>
      </c>
      <c r="D287" s="1410">
        <v>1190000</v>
      </c>
      <c r="E287" s="1412">
        <v>51660</v>
      </c>
      <c r="F287" s="1413">
        <v>29230</v>
      </c>
      <c r="G287" s="1410">
        <v>3.7818000000000001</v>
      </c>
      <c r="H287" s="1412">
        <v>8.4370999999999995E-3</v>
      </c>
      <c r="I287" s="1412">
        <v>-3.8259590000000003E-3</v>
      </c>
      <c r="J287" s="1413">
        <v>3.0312999999999999</v>
      </c>
    </row>
    <row r="288" spans="2:10" x14ac:dyDescent="0.25">
      <c r="B288" s="1410" t="s">
        <v>815</v>
      </c>
      <c r="C288" s="1411">
        <v>2035</v>
      </c>
      <c r="D288" s="1410">
        <v>1190000</v>
      </c>
      <c r="E288" s="1412">
        <v>51660</v>
      </c>
      <c r="F288" s="1413">
        <v>29230</v>
      </c>
      <c r="G288" s="1410">
        <v>3.7818000000000001</v>
      </c>
      <c r="H288" s="1412">
        <v>8.4370999999999995E-3</v>
      </c>
      <c r="I288" s="1412">
        <v>-3.8259590000000003E-3</v>
      </c>
      <c r="J288" s="1413">
        <v>3.0312999999999999</v>
      </c>
    </row>
    <row r="289" spans="2:10" x14ac:dyDescent="0.25">
      <c r="B289" s="1410" t="s">
        <v>824</v>
      </c>
      <c r="C289" s="1411">
        <v>2035</v>
      </c>
      <c r="D289" s="1410">
        <v>1190000</v>
      </c>
      <c r="E289" s="1412">
        <v>51660</v>
      </c>
      <c r="F289" s="1413">
        <v>29230</v>
      </c>
      <c r="G289" s="1410">
        <v>3.7818000000000001</v>
      </c>
      <c r="H289" s="1412">
        <v>8.4370999999999995E-3</v>
      </c>
      <c r="I289" s="1412">
        <v>-3.8259590000000003E-3</v>
      </c>
      <c r="J289" s="1413">
        <v>3.0312999999999999</v>
      </c>
    </row>
    <row r="290" spans="2:10" ht="13" thickBot="1" x14ac:dyDescent="0.3">
      <c r="B290" s="1414" t="s">
        <v>1088</v>
      </c>
      <c r="C290" s="1415">
        <v>2035</v>
      </c>
      <c r="D290" s="1414">
        <v>1384000</v>
      </c>
      <c r="E290" s="1416">
        <v>1383000</v>
      </c>
      <c r="F290" s="1417">
        <v>5034</v>
      </c>
      <c r="G290" s="1414">
        <v>78.571100000000001</v>
      </c>
      <c r="H290" s="1416">
        <v>0.27494000000000002</v>
      </c>
      <c r="I290" s="1416">
        <v>2.3304000000000003E-3</v>
      </c>
      <c r="J290" s="1417">
        <v>87.594300000000004</v>
      </c>
    </row>
    <row r="291" spans="2:10" x14ac:dyDescent="0.25">
      <c r="B291" s="1406" t="s">
        <v>1085</v>
      </c>
      <c r="C291" s="1407">
        <v>2040</v>
      </c>
      <c r="D291" s="1406">
        <v>1092000</v>
      </c>
      <c r="E291" s="1408">
        <v>1092000</v>
      </c>
      <c r="F291" s="1409">
        <v>3975</v>
      </c>
      <c r="G291" s="1406">
        <v>5.7453000000000003</v>
      </c>
      <c r="H291" s="1408">
        <v>0.18462200000000001</v>
      </c>
      <c r="I291" s="1408">
        <v>8.6110000000000006E-4</v>
      </c>
      <c r="J291" s="1409">
        <v>11.577199999999999</v>
      </c>
    </row>
    <row r="292" spans="2:10" x14ac:dyDescent="0.25">
      <c r="B292" s="1410" t="s">
        <v>283</v>
      </c>
      <c r="C292" s="1411">
        <v>2040</v>
      </c>
      <c r="D292" s="1410">
        <v>1092000</v>
      </c>
      <c r="E292" s="1412">
        <v>1092000</v>
      </c>
      <c r="F292" s="1413">
        <v>3975</v>
      </c>
      <c r="G292" s="1410">
        <v>5.7453000000000003</v>
      </c>
      <c r="H292" s="1412">
        <v>0.18462200000000001</v>
      </c>
      <c r="I292" s="1412">
        <v>8.6110000000000006E-4</v>
      </c>
      <c r="J292" s="1413">
        <v>11.577199999999999</v>
      </c>
    </row>
    <row r="293" spans="2:10" x14ac:dyDescent="0.25">
      <c r="B293" s="1410" t="s">
        <v>1086</v>
      </c>
      <c r="C293" s="1411">
        <v>2040</v>
      </c>
      <c r="D293" s="1410">
        <v>1092000</v>
      </c>
      <c r="E293" s="1412">
        <v>1092000</v>
      </c>
      <c r="F293" s="1413">
        <v>3975</v>
      </c>
      <c r="G293" s="1410">
        <v>5.7453000000000003</v>
      </c>
      <c r="H293" s="1412">
        <v>0.18462200000000001</v>
      </c>
      <c r="I293" s="1412">
        <v>8.6110000000000006E-4</v>
      </c>
      <c r="J293" s="1413">
        <v>11.577199999999999</v>
      </c>
    </row>
    <row r="294" spans="2:10" x14ac:dyDescent="0.25">
      <c r="B294" s="1410" t="s">
        <v>681</v>
      </c>
      <c r="C294" s="1411">
        <v>2040</v>
      </c>
      <c r="D294" s="1410">
        <v>1092000</v>
      </c>
      <c r="E294" s="1412">
        <v>1092000</v>
      </c>
      <c r="F294" s="1413">
        <v>3975</v>
      </c>
      <c r="G294" s="1410">
        <v>5.7453000000000003</v>
      </c>
      <c r="H294" s="1412">
        <v>0.18462200000000001</v>
      </c>
      <c r="I294" s="1412">
        <v>8.6110000000000006E-4</v>
      </c>
      <c r="J294" s="1413">
        <v>11.577199999999999</v>
      </c>
    </row>
    <row r="295" spans="2:10" x14ac:dyDescent="0.25">
      <c r="B295" s="1410" t="s">
        <v>682</v>
      </c>
      <c r="C295" s="1411">
        <v>2040</v>
      </c>
      <c r="D295" s="1410">
        <v>-1185000</v>
      </c>
      <c r="E295" s="1412">
        <v>0</v>
      </c>
      <c r="F295" s="1413">
        <v>0</v>
      </c>
      <c r="G295" s="1410">
        <v>-85.800000000000011</v>
      </c>
      <c r="H295" s="1412">
        <v>0.54700000000000004</v>
      </c>
      <c r="I295" s="1412">
        <v>-1.8286999999999999E-3</v>
      </c>
      <c r="J295" s="1413">
        <v>-70.08</v>
      </c>
    </row>
    <row r="296" spans="2:10" x14ac:dyDescent="0.25">
      <c r="B296" s="1410" t="s">
        <v>683</v>
      </c>
      <c r="C296" s="1411">
        <v>2040</v>
      </c>
      <c r="D296" s="1410">
        <v>1732000</v>
      </c>
      <c r="E296" s="1412">
        <v>1300000</v>
      </c>
      <c r="F296" s="1413">
        <v>17320</v>
      </c>
      <c r="G296" s="1410">
        <v>129.32</v>
      </c>
      <c r="H296" s="1412">
        <v>0.20383000000000001</v>
      </c>
      <c r="I296" s="1412">
        <v>1.8644999999999998E-3</v>
      </c>
      <c r="J296" s="1413">
        <v>134.37</v>
      </c>
    </row>
    <row r="297" spans="2:10" x14ac:dyDescent="0.25">
      <c r="B297" s="1410" t="s">
        <v>698</v>
      </c>
      <c r="C297" s="1411">
        <v>2040</v>
      </c>
      <c r="D297" s="1410">
        <v>1732000</v>
      </c>
      <c r="E297" s="1412">
        <v>1300000</v>
      </c>
      <c r="F297" s="1413">
        <v>17320</v>
      </c>
      <c r="G297" s="1410">
        <v>129.32</v>
      </c>
      <c r="H297" s="1412">
        <v>0.20383000000000001</v>
      </c>
      <c r="I297" s="1412">
        <v>1.8644999999999998E-3</v>
      </c>
      <c r="J297" s="1413">
        <v>134.37</v>
      </c>
    </row>
    <row r="298" spans="2:10" x14ac:dyDescent="0.25">
      <c r="B298" s="1410" t="s">
        <v>684</v>
      </c>
      <c r="C298" s="1411">
        <v>2040</v>
      </c>
      <c r="D298" s="1410">
        <v>1732000</v>
      </c>
      <c r="E298" s="1412">
        <v>1300000</v>
      </c>
      <c r="F298" s="1413">
        <v>17320</v>
      </c>
      <c r="G298" s="1410">
        <v>129.32</v>
      </c>
      <c r="H298" s="1412">
        <v>0.20383000000000001</v>
      </c>
      <c r="I298" s="1412">
        <v>1.8644999999999998E-3</v>
      </c>
      <c r="J298" s="1413">
        <v>134.37</v>
      </c>
    </row>
    <row r="299" spans="2:10" x14ac:dyDescent="0.25">
      <c r="B299" s="1410" t="s">
        <v>1087</v>
      </c>
      <c r="C299" s="1411">
        <v>2040</v>
      </c>
      <c r="D299" s="1410">
        <v>1022000</v>
      </c>
      <c r="E299" s="1412">
        <v>1021000</v>
      </c>
      <c r="F299" s="1413">
        <v>15510</v>
      </c>
      <c r="G299" s="1410">
        <v>1.7054</v>
      </c>
      <c r="H299" s="1412">
        <v>0.14096210000000001</v>
      </c>
      <c r="I299" s="1412">
        <v>3.2928999999999996E-5</v>
      </c>
      <c r="J299" s="1413">
        <v>5.9637000000000002</v>
      </c>
    </row>
    <row r="300" spans="2:10" x14ac:dyDescent="0.25">
      <c r="B300" s="1410" t="s">
        <v>716</v>
      </c>
      <c r="C300" s="1411">
        <v>2040</v>
      </c>
      <c r="D300" s="1410">
        <v>1022000</v>
      </c>
      <c r="E300" s="1412">
        <v>1021000</v>
      </c>
      <c r="F300" s="1413">
        <v>15510</v>
      </c>
      <c r="G300" s="1410">
        <v>1.7054</v>
      </c>
      <c r="H300" s="1412">
        <v>0.14096210000000001</v>
      </c>
      <c r="I300" s="1412">
        <v>3.2928999999999996E-5</v>
      </c>
      <c r="J300" s="1413">
        <v>5.9637000000000002</v>
      </c>
    </row>
    <row r="301" spans="2:10" x14ac:dyDescent="0.25">
      <c r="B301" s="1410" t="s">
        <v>717</v>
      </c>
      <c r="C301" s="1411">
        <v>2040</v>
      </c>
      <c r="D301" s="1410">
        <v>1022000</v>
      </c>
      <c r="E301" s="1412">
        <v>1021000</v>
      </c>
      <c r="F301" s="1413">
        <v>15510</v>
      </c>
      <c r="G301" s="1410">
        <v>1.7054</v>
      </c>
      <c r="H301" s="1412">
        <v>0.14096210000000001</v>
      </c>
      <c r="I301" s="1412">
        <v>3.2928999999999996E-5</v>
      </c>
      <c r="J301" s="1413">
        <v>5.9637000000000002</v>
      </c>
    </row>
    <row r="302" spans="2:10" x14ac:dyDescent="0.25">
      <c r="B302" s="1410" t="s">
        <v>912</v>
      </c>
      <c r="C302" s="1411">
        <v>2040</v>
      </c>
      <c r="D302" s="1410">
        <v>1209000</v>
      </c>
      <c r="E302" s="1412">
        <v>1202000</v>
      </c>
      <c r="F302" s="1413">
        <v>1052000</v>
      </c>
      <c r="G302" s="1410">
        <v>18.032</v>
      </c>
      <c r="H302" s="1412">
        <v>0.16412599999999999</v>
      </c>
      <c r="I302" s="1412">
        <v>2.9167E-4</v>
      </c>
      <c r="J302" s="1413">
        <v>23.062000000000001</v>
      </c>
    </row>
    <row r="303" spans="2:10" x14ac:dyDescent="0.25">
      <c r="B303" s="1410" t="s">
        <v>910</v>
      </c>
      <c r="C303" s="1411">
        <v>2040</v>
      </c>
      <c r="D303" s="1410">
        <v>1586000</v>
      </c>
      <c r="E303" s="1412">
        <v>696600</v>
      </c>
      <c r="F303" s="1413">
        <v>286100</v>
      </c>
      <c r="G303" s="1410">
        <v>38.200000000000003</v>
      </c>
      <c r="H303" s="1412">
        <v>0.1118</v>
      </c>
      <c r="I303" s="1412">
        <v>2.5350000000000001E-2</v>
      </c>
      <c r="J303" s="1413">
        <v>45.3</v>
      </c>
    </row>
    <row r="304" spans="2:10" x14ac:dyDescent="0.25">
      <c r="B304" s="1410" t="s">
        <v>913</v>
      </c>
      <c r="C304" s="1411">
        <v>2040</v>
      </c>
      <c r="D304" s="1410">
        <v>1250000</v>
      </c>
      <c r="E304" s="1412">
        <v>1242000</v>
      </c>
      <c r="F304" s="1413">
        <v>1078000</v>
      </c>
      <c r="G304" s="1410">
        <v>23.914999999999999</v>
      </c>
      <c r="H304" s="1412">
        <v>0.16985499999999998</v>
      </c>
      <c r="I304" s="1412">
        <v>3.7957999999999997E-4</v>
      </c>
      <c r="J304" s="1413">
        <v>29.232999999999997</v>
      </c>
    </row>
    <row r="305" spans="2:10" x14ac:dyDescent="0.25">
      <c r="B305" s="1410" t="s">
        <v>1081</v>
      </c>
      <c r="C305" s="1411">
        <v>2040</v>
      </c>
      <c r="D305" s="1410">
        <v>1190000</v>
      </c>
      <c r="E305" s="1412">
        <v>51610</v>
      </c>
      <c r="F305" s="1413">
        <v>29220</v>
      </c>
      <c r="G305" s="1410">
        <v>3.7715999999999998</v>
      </c>
      <c r="H305" s="1412">
        <v>8.4332999999999995E-3</v>
      </c>
      <c r="I305" s="1412">
        <v>-3.8260220000000001E-3</v>
      </c>
      <c r="J305" s="1413">
        <v>3.02</v>
      </c>
    </row>
    <row r="306" spans="2:10" x14ac:dyDescent="0.25">
      <c r="B306" s="1410" t="s">
        <v>815</v>
      </c>
      <c r="C306" s="1411">
        <v>2040</v>
      </c>
      <c r="D306" s="1410">
        <v>1190000</v>
      </c>
      <c r="E306" s="1412">
        <v>51610</v>
      </c>
      <c r="F306" s="1413">
        <v>29220</v>
      </c>
      <c r="G306" s="1410">
        <v>3.7715999999999998</v>
      </c>
      <c r="H306" s="1412">
        <v>8.4332999999999995E-3</v>
      </c>
      <c r="I306" s="1412">
        <v>-3.8260220000000001E-3</v>
      </c>
      <c r="J306" s="1413">
        <v>3.02</v>
      </c>
    </row>
    <row r="307" spans="2:10" x14ac:dyDescent="0.25">
      <c r="B307" s="1410" t="s">
        <v>824</v>
      </c>
      <c r="C307" s="1411">
        <v>2040</v>
      </c>
      <c r="D307" s="1410">
        <v>1190000</v>
      </c>
      <c r="E307" s="1412">
        <v>51610</v>
      </c>
      <c r="F307" s="1413">
        <v>29220</v>
      </c>
      <c r="G307" s="1410">
        <v>3.7715999999999998</v>
      </c>
      <c r="H307" s="1412">
        <v>8.4332999999999995E-3</v>
      </c>
      <c r="I307" s="1412">
        <v>-3.8260220000000001E-3</v>
      </c>
      <c r="J307" s="1413">
        <v>3.02</v>
      </c>
    </row>
    <row r="308" spans="2:10" ht="13" thickBot="1" x14ac:dyDescent="0.3">
      <c r="B308" s="1414" t="s">
        <v>1088</v>
      </c>
      <c r="C308" s="1415">
        <v>2040</v>
      </c>
      <c r="D308" s="1414">
        <v>1384000</v>
      </c>
      <c r="E308" s="1416">
        <v>1383000</v>
      </c>
      <c r="F308" s="1417">
        <v>5034</v>
      </c>
      <c r="G308" s="1414">
        <v>78.571100000000001</v>
      </c>
      <c r="H308" s="1416">
        <v>0.27494000000000002</v>
      </c>
      <c r="I308" s="1416">
        <v>2.3304000000000003E-3</v>
      </c>
      <c r="J308" s="1417">
        <v>87.594300000000004</v>
      </c>
    </row>
    <row r="309" spans="2:10" x14ac:dyDescent="0.25">
      <c r="B309" s="1406" t="s">
        <v>1085</v>
      </c>
      <c r="C309" s="1407">
        <v>2045</v>
      </c>
      <c r="D309" s="1406">
        <v>1092000</v>
      </c>
      <c r="E309" s="1408">
        <v>1092000</v>
      </c>
      <c r="F309" s="1409">
        <v>3972</v>
      </c>
      <c r="G309" s="1406">
        <v>5.7410000000000005</v>
      </c>
      <c r="H309" s="1408">
        <v>0.18462200000000001</v>
      </c>
      <c r="I309" s="1408">
        <v>8.6110000000000006E-4</v>
      </c>
      <c r="J309" s="1409">
        <v>11.565900000000001</v>
      </c>
    </row>
    <row r="310" spans="2:10" x14ac:dyDescent="0.25">
      <c r="B310" s="1410" t="s">
        <v>283</v>
      </c>
      <c r="C310" s="1411">
        <v>2045</v>
      </c>
      <c r="D310" s="1410">
        <v>1092000</v>
      </c>
      <c r="E310" s="1412">
        <v>1092000</v>
      </c>
      <c r="F310" s="1413">
        <v>3972</v>
      </c>
      <c r="G310" s="1410">
        <v>5.7410000000000005</v>
      </c>
      <c r="H310" s="1412">
        <v>0.18462200000000001</v>
      </c>
      <c r="I310" s="1412">
        <v>8.6110000000000006E-4</v>
      </c>
      <c r="J310" s="1413">
        <v>11.565900000000001</v>
      </c>
    </row>
    <row r="311" spans="2:10" x14ac:dyDescent="0.25">
      <c r="B311" s="1410" t="s">
        <v>1086</v>
      </c>
      <c r="C311" s="1411">
        <v>2045</v>
      </c>
      <c r="D311" s="1410">
        <v>1092000</v>
      </c>
      <c r="E311" s="1412">
        <v>1092000</v>
      </c>
      <c r="F311" s="1413">
        <v>3972</v>
      </c>
      <c r="G311" s="1410">
        <v>5.7410000000000005</v>
      </c>
      <c r="H311" s="1412">
        <v>0.18462200000000001</v>
      </c>
      <c r="I311" s="1412">
        <v>8.6110000000000006E-4</v>
      </c>
      <c r="J311" s="1413">
        <v>11.565900000000001</v>
      </c>
    </row>
    <row r="312" spans="2:10" x14ac:dyDescent="0.25">
      <c r="B312" s="1410" t="s">
        <v>681</v>
      </c>
      <c r="C312" s="1411">
        <v>2045</v>
      </c>
      <c r="D312" s="1410">
        <v>1092000</v>
      </c>
      <c r="E312" s="1412">
        <v>1092000</v>
      </c>
      <c r="F312" s="1413">
        <v>3972</v>
      </c>
      <c r="G312" s="1410">
        <v>5.7410000000000005</v>
      </c>
      <c r="H312" s="1412">
        <v>0.18462200000000001</v>
      </c>
      <c r="I312" s="1412">
        <v>8.6110000000000006E-4</v>
      </c>
      <c r="J312" s="1413">
        <v>11.565900000000001</v>
      </c>
    </row>
    <row r="313" spans="2:10" x14ac:dyDescent="0.25">
      <c r="B313" s="1410" t="s">
        <v>682</v>
      </c>
      <c r="C313" s="1411">
        <v>2045</v>
      </c>
      <c r="D313" s="1410">
        <v>-1185000</v>
      </c>
      <c r="E313" s="1412">
        <v>0</v>
      </c>
      <c r="F313" s="1413">
        <v>0</v>
      </c>
      <c r="G313" s="1410">
        <v>-85.800000000000011</v>
      </c>
      <c r="H313" s="1412">
        <v>0.54700000000000004</v>
      </c>
      <c r="I313" s="1412">
        <v>-1.8286999999999999E-3</v>
      </c>
      <c r="J313" s="1413">
        <v>-70.08</v>
      </c>
    </row>
    <row r="314" spans="2:10" x14ac:dyDescent="0.25">
      <c r="B314" s="1410" t="s">
        <v>683</v>
      </c>
      <c r="C314" s="1411">
        <v>2045</v>
      </c>
      <c r="D314" s="1410">
        <v>1724000</v>
      </c>
      <c r="E314" s="1412">
        <v>1293000</v>
      </c>
      <c r="F314" s="1413">
        <v>15580</v>
      </c>
      <c r="G314" s="1410">
        <v>126.71000000000001</v>
      </c>
      <c r="H314" s="1412">
        <v>0.203795</v>
      </c>
      <c r="I314" s="1412">
        <v>1.8165E-3</v>
      </c>
      <c r="J314" s="1413">
        <v>131.63</v>
      </c>
    </row>
    <row r="315" spans="2:10" x14ac:dyDescent="0.25">
      <c r="B315" s="1410" t="s">
        <v>698</v>
      </c>
      <c r="C315" s="1411">
        <v>2045</v>
      </c>
      <c r="D315" s="1410">
        <v>1724000</v>
      </c>
      <c r="E315" s="1412">
        <v>1293000</v>
      </c>
      <c r="F315" s="1413">
        <v>15580</v>
      </c>
      <c r="G315" s="1410">
        <v>126.71000000000001</v>
      </c>
      <c r="H315" s="1412">
        <v>0.203795</v>
      </c>
      <c r="I315" s="1412">
        <v>1.8165E-3</v>
      </c>
      <c r="J315" s="1413">
        <v>131.63</v>
      </c>
    </row>
    <row r="316" spans="2:10" x14ac:dyDescent="0.25">
      <c r="B316" s="1410" t="s">
        <v>684</v>
      </c>
      <c r="C316" s="1411">
        <v>2045</v>
      </c>
      <c r="D316" s="1410">
        <v>1724000</v>
      </c>
      <c r="E316" s="1412">
        <v>1293000</v>
      </c>
      <c r="F316" s="1413">
        <v>15580</v>
      </c>
      <c r="G316" s="1410">
        <v>126.71000000000001</v>
      </c>
      <c r="H316" s="1412">
        <v>0.203795</v>
      </c>
      <c r="I316" s="1412">
        <v>1.8165E-3</v>
      </c>
      <c r="J316" s="1413">
        <v>131.63</v>
      </c>
    </row>
    <row r="317" spans="2:10" x14ac:dyDescent="0.25">
      <c r="B317" s="1410" t="s">
        <v>1087</v>
      </c>
      <c r="C317" s="1411">
        <v>2045</v>
      </c>
      <c r="D317" s="1410">
        <v>1022000</v>
      </c>
      <c r="E317" s="1412">
        <v>1021000</v>
      </c>
      <c r="F317" s="1413">
        <v>15510</v>
      </c>
      <c r="G317" s="1410">
        <v>1.6997</v>
      </c>
      <c r="H317" s="1412">
        <v>0.14096223999999999</v>
      </c>
      <c r="I317" s="1412">
        <v>3.2833999999999998E-5</v>
      </c>
      <c r="J317" s="1413">
        <v>5.9580000000000002</v>
      </c>
    </row>
    <row r="318" spans="2:10" x14ac:dyDescent="0.25">
      <c r="B318" s="1410" t="s">
        <v>716</v>
      </c>
      <c r="C318" s="1411">
        <v>2045</v>
      </c>
      <c r="D318" s="1410">
        <v>1022000</v>
      </c>
      <c r="E318" s="1412">
        <v>1021000</v>
      </c>
      <c r="F318" s="1413">
        <v>15510</v>
      </c>
      <c r="G318" s="1410">
        <v>1.6997</v>
      </c>
      <c r="H318" s="1412">
        <v>0.14096223999999999</v>
      </c>
      <c r="I318" s="1412">
        <v>3.2833999999999998E-5</v>
      </c>
      <c r="J318" s="1413">
        <v>5.9580000000000002</v>
      </c>
    </row>
    <row r="319" spans="2:10" x14ac:dyDescent="0.25">
      <c r="B319" s="1410" t="s">
        <v>717</v>
      </c>
      <c r="C319" s="1411">
        <v>2045</v>
      </c>
      <c r="D319" s="1410">
        <v>1022000</v>
      </c>
      <c r="E319" s="1412">
        <v>1021000</v>
      </c>
      <c r="F319" s="1413">
        <v>15510</v>
      </c>
      <c r="G319" s="1410">
        <v>1.6997</v>
      </c>
      <c r="H319" s="1412">
        <v>0.14096223999999999</v>
      </c>
      <c r="I319" s="1412">
        <v>3.2833999999999998E-5</v>
      </c>
      <c r="J319" s="1413">
        <v>5.9580000000000002</v>
      </c>
    </row>
    <row r="320" spans="2:10" x14ac:dyDescent="0.25">
      <c r="B320" s="1410" t="s">
        <v>912</v>
      </c>
      <c r="C320" s="1411">
        <v>2045</v>
      </c>
      <c r="D320" s="1410">
        <v>1209000</v>
      </c>
      <c r="E320" s="1412">
        <v>1202000</v>
      </c>
      <c r="F320" s="1413">
        <v>1052000</v>
      </c>
      <c r="G320" s="1410">
        <v>17.989000000000001</v>
      </c>
      <c r="H320" s="1412">
        <v>0.164127</v>
      </c>
      <c r="I320" s="1412">
        <v>2.9079000000000003E-4</v>
      </c>
      <c r="J320" s="1413">
        <v>23.018999999999998</v>
      </c>
    </row>
    <row r="321" spans="2:10" x14ac:dyDescent="0.25">
      <c r="B321" s="1410" t="s">
        <v>910</v>
      </c>
      <c r="C321" s="1411">
        <v>2045</v>
      </c>
      <c r="D321" s="1410">
        <v>1586000</v>
      </c>
      <c r="E321" s="1412">
        <v>696300</v>
      </c>
      <c r="F321" s="1413">
        <v>286000</v>
      </c>
      <c r="G321" s="1410">
        <v>38.110999999999997</v>
      </c>
      <c r="H321" s="1412">
        <v>0.1118</v>
      </c>
      <c r="I321" s="1412">
        <v>2.5350000000000001E-2</v>
      </c>
      <c r="J321" s="1413">
        <v>45.23</v>
      </c>
    </row>
    <row r="322" spans="2:10" x14ac:dyDescent="0.25">
      <c r="B322" s="1410" t="s">
        <v>913</v>
      </c>
      <c r="C322" s="1411">
        <v>2045</v>
      </c>
      <c r="D322" s="1410">
        <v>1249000</v>
      </c>
      <c r="E322" s="1412">
        <v>1242000</v>
      </c>
      <c r="F322" s="1413">
        <v>1078000</v>
      </c>
      <c r="G322" s="1410">
        <v>23.861000000000001</v>
      </c>
      <c r="H322" s="1412">
        <v>0.16985599999999998</v>
      </c>
      <c r="I322" s="1412">
        <v>3.7867E-4</v>
      </c>
      <c r="J322" s="1413">
        <v>29.189</v>
      </c>
    </row>
    <row r="323" spans="2:10" x14ac:dyDescent="0.25">
      <c r="B323" s="1410" t="s">
        <v>1081</v>
      </c>
      <c r="C323" s="1411">
        <v>2045</v>
      </c>
      <c r="D323" s="1410">
        <v>1190000</v>
      </c>
      <c r="E323" s="1412">
        <v>51590</v>
      </c>
      <c r="F323" s="1413">
        <v>29220</v>
      </c>
      <c r="G323" s="1410">
        <v>3.7631000000000001</v>
      </c>
      <c r="H323" s="1412">
        <v>8.4335E-3</v>
      </c>
      <c r="I323" s="1412">
        <v>-3.8260760000000003E-3</v>
      </c>
      <c r="J323" s="1413">
        <v>3.0114000000000001</v>
      </c>
    </row>
    <row r="324" spans="2:10" x14ac:dyDescent="0.25">
      <c r="B324" s="1410" t="s">
        <v>815</v>
      </c>
      <c r="C324" s="1411">
        <v>2045</v>
      </c>
      <c r="D324" s="1410">
        <v>1190000</v>
      </c>
      <c r="E324" s="1412">
        <v>51590</v>
      </c>
      <c r="F324" s="1413">
        <v>29220</v>
      </c>
      <c r="G324" s="1410">
        <v>3.7631000000000001</v>
      </c>
      <c r="H324" s="1412">
        <v>8.4335E-3</v>
      </c>
      <c r="I324" s="1412">
        <v>-3.8260760000000003E-3</v>
      </c>
      <c r="J324" s="1413">
        <v>3.0114000000000001</v>
      </c>
    </row>
    <row r="325" spans="2:10" x14ac:dyDescent="0.25">
      <c r="B325" s="1410" t="s">
        <v>824</v>
      </c>
      <c r="C325" s="1411">
        <v>2045</v>
      </c>
      <c r="D325" s="1410">
        <v>1190000</v>
      </c>
      <c r="E325" s="1412">
        <v>51590</v>
      </c>
      <c r="F325" s="1413">
        <v>29220</v>
      </c>
      <c r="G325" s="1410">
        <v>3.7631000000000001</v>
      </c>
      <c r="H325" s="1412">
        <v>8.4335E-3</v>
      </c>
      <c r="I325" s="1412">
        <v>-3.8260760000000003E-3</v>
      </c>
      <c r="J325" s="1413">
        <v>3.0114000000000001</v>
      </c>
    </row>
    <row r="326" spans="2:10" ht="13" thickBot="1" x14ac:dyDescent="0.3">
      <c r="B326" s="1414" t="s">
        <v>1088</v>
      </c>
      <c r="C326" s="1415">
        <v>2045</v>
      </c>
      <c r="D326" s="1414">
        <v>1384000</v>
      </c>
      <c r="E326" s="1416">
        <v>1383000</v>
      </c>
      <c r="F326" s="1417">
        <v>5034</v>
      </c>
      <c r="G326" s="1414">
        <v>78.571100000000001</v>
      </c>
      <c r="H326" s="1416">
        <v>0.27494000000000002</v>
      </c>
      <c r="I326" s="1416">
        <v>2.3304000000000003E-3</v>
      </c>
      <c r="J326" s="1417">
        <v>87.594300000000004</v>
      </c>
    </row>
    <row r="327" spans="2:10" x14ac:dyDescent="0.25">
      <c r="B327" s="1406" t="s">
        <v>1085</v>
      </c>
      <c r="C327" s="1407">
        <v>2050</v>
      </c>
      <c r="D327" s="1406">
        <v>1092000</v>
      </c>
      <c r="E327" s="1408">
        <v>1092000</v>
      </c>
      <c r="F327" s="1409">
        <v>3971</v>
      </c>
      <c r="G327" s="1406">
        <v>5.7390999999999996</v>
      </c>
      <c r="H327" s="1408">
        <v>0.18462200000000001</v>
      </c>
      <c r="I327" s="1408">
        <v>8.61E-4</v>
      </c>
      <c r="J327" s="1409">
        <v>11.5648</v>
      </c>
    </row>
    <row r="328" spans="2:10" x14ac:dyDescent="0.25">
      <c r="B328" s="1410" t="s">
        <v>283</v>
      </c>
      <c r="C328" s="1411">
        <v>2050</v>
      </c>
      <c r="D328" s="1410">
        <v>1092000</v>
      </c>
      <c r="E328" s="1412">
        <v>1092000</v>
      </c>
      <c r="F328" s="1413">
        <v>3971</v>
      </c>
      <c r="G328" s="1410">
        <v>5.7390999999999996</v>
      </c>
      <c r="H328" s="1412">
        <v>0.18462200000000001</v>
      </c>
      <c r="I328" s="1412">
        <v>8.61E-4</v>
      </c>
      <c r="J328" s="1413">
        <v>11.5648</v>
      </c>
    </row>
    <row r="329" spans="2:10" x14ac:dyDescent="0.25">
      <c r="B329" s="1410" t="s">
        <v>1086</v>
      </c>
      <c r="C329" s="1411">
        <v>2050</v>
      </c>
      <c r="D329" s="1410">
        <v>1092000</v>
      </c>
      <c r="E329" s="1412">
        <v>1092000</v>
      </c>
      <c r="F329" s="1413">
        <v>3971</v>
      </c>
      <c r="G329" s="1410">
        <v>5.7390999999999996</v>
      </c>
      <c r="H329" s="1412">
        <v>0.18462200000000001</v>
      </c>
      <c r="I329" s="1412">
        <v>8.61E-4</v>
      </c>
      <c r="J329" s="1413">
        <v>11.5648</v>
      </c>
    </row>
    <row r="330" spans="2:10" x14ac:dyDescent="0.25">
      <c r="B330" s="1410" t="s">
        <v>681</v>
      </c>
      <c r="C330" s="1411">
        <v>2050</v>
      </c>
      <c r="D330" s="1410">
        <v>1092000</v>
      </c>
      <c r="E330" s="1412">
        <v>1092000</v>
      </c>
      <c r="F330" s="1413">
        <v>3971</v>
      </c>
      <c r="G330" s="1410">
        <v>5.7390999999999996</v>
      </c>
      <c r="H330" s="1412">
        <v>0.18462200000000001</v>
      </c>
      <c r="I330" s="1412">
        <v>8.61E-4</v>
      </c>
      <c r="J330" s="1413">
        <v>11.5648</v>
      </c>
    </row>
    <row r="331" spans="2:10" x14ac:dyDescent="0.25">
      <c r="B331" s="1410" t="s">
        <v>682</v>
      </c>
      <c r="C331" s="1411">
        <v>2050</v>
      </c>
      <c r="D331" s="1410">
        <v>-1185000</v>
      </c>
      <c r="E331" s="1412">
        <v>0</v>
      </c>
      <c r="F331" s="1413">
        <v>0</v>
      </c>
      <c r="G331" s="1410">
        <v>-85.800000000000011</v>
      </c>
      <c r="H331" s="1412">
        <v>0.54700000000000004</v>
      </c>
      <c r="I331" s="1412">
        <v>-1.8286999999999999E-3</v>
      </c>
      <c r="J331" s="1413">
        <v>-70.08</v>
      </c>
    </row>
    <row r="332" spans="2:10" x14ac:dyDescent="0.25">
      <c r="B332" s="1410" t="s">
        <v>683</v>
      </c>
      <c r="C332" s="1411">
        <v>2050</v>
      </c>
      <c r="D332" s="1410">
        <v>1721000</v>
      </c>
      <c r="E332" s="1412">
        <v>1293000</v>
      </c>
      <c r="F332" s="1413">
        <v>15050</v>
      </c>
      <c r="G332" s="1410">
        <v>125.08</v>
      </c>
      <c r="H332" s="1412">
        <v>0.20477100000000001</v>
      </c>
      <c r="I332" s="1412">
        <v>1.7827000000000001E-3</v>
      </c>
      <c r="J332" s="1413">
        <v>129.82</v>
      </c>
    </row>
    <row r="333" spans="2:10" x14ac:dyDescent="0.25">
      <c r="B333" s="1410" t="s">
        <v>698</v>
      </c>
      <c r="C333" s="1411">
        <v>2050</v>
      </c>
      <c r="D333" s="1410">
        <v>1721000</v>
      </c>
      <c r="E333" s="1412">
        <v>1293000</v>
      </c>
      <c r="F333" s="1413">
        <v>15050</v>
      </c>
      <c r="G333" s="1410">
        <v>125.08</v>
      </c>
      <c r="H333" s="1412">
        <v>0.20477100000000001</v>
      </c>
      <c r="I333" s="1412">
        <v>1.7827000000000001E-3</v>
      </c>
      <c r="J333" s="1413">
        <v>129.82</v>
      </c>
    </row>
    <row r="334" spans="2:10" x14ac:dyDescent="0.25">
      <c r="B334" s="1410" t="s">
        <v>684</v>
      </c>
      <c r="C334" s="1411">
        <v>2050</v>
      </c>
      <c r="D334" s="1410">
        <v>1721000</v>
      </c>
      <c r="E334" s="1412">
        <v>1293000</v>
      </c>
      <c r="F334" s="1413">
        <v>15050</v>
      </c>
      <c r="G334" s="1410">
        <v>125.08</v>
      </c>
      <c r="H334" s="1412">
        <v>0.20477100000000001</v>
      </c>
      <c r="I334" s="1412">
        <v>1.7827000000000001E-3</v>
      </c>
      <c r="J334" s="1413">
        <v>129.82</v>
      </c>
    </row>
    <row r="335" spans="2:10" x14ac:dyDescent="0.25">
      <c r="B335" s="1410" t="s">
        <v>1087</v>
      </c>
      <c r="C335" s="1411">
        <v>2050</v>
      </c>
      <c r="D335" s="1410">
        <v>1022000</v>
      </c>
      <c r="E335" s="1412">
        <v>1021000</v>
      </c>
      <c r="F335" s="1413">
        <v>15510</v>
      </c>
      <c r="G335" s="1410">
        <v>1.6964999999999999</v>
      </c>
      <c r="H335" s="1412">
        <v>0.14096238999999999</v>
      </c>
      <c r="I335" s="1412">
        <v>3.2765999999999998E-5</v>
      </c>
      <c r="J335" s="1413">
        <v>5.9536999999999995</v>
      </c>
    </row>
    <row r="336" spans="2:10" x14ac:dyDescent="0.25">
      <c r="B336" s="1410" t="s">
        <v>716</v>
      </c>
      <c r="C336" s="1411">
        <v>2050</v>
      </c>
      <c r="D336" s="1410">
        <v>1022000</v>
      </c>
      <c r="E336" s="1412">
        <v>1021000</v>
      </c>
      <c r="F336" s="1413">
        <v>15510</v>
      </c>
      <c r="G336" s="1410">
        <v>1.6964999999999999</v>
      </c>
      <c r="H336" s="1412">
        <v>0.14096238999999999</v>
      </c>
      <c r="I336" s="1412">
        <v>3.2765999999999998E-5</v>
      </c>
      <c r="J336" s="1413">
        <v>5.9536999999999995</v>
      </c>
    </row>
    <row r="337" spans="2:10" x14ac:dyDescent="0.25">
      <c r="B337" s="1410" t="s">
        <v>717</v>
      </c>
      <c r="C337" s="1411">
        <v>2050</v>
      </c>
      <c r="D337" s="1410">
        <v>1022000</v>
      </c>
      <c r="E337" s="1412">
        <v>1021000</v>
      </c>
      <c r="F337" s="1413">
        <v>15510</v>
      </c>
      <c r="G337" s="1410">
        <v>1.6964999999999999</v>
      </c>
      <c r="H337" s="1412">
        <v>0.14096238999999999</v>
      </c>
      <c r="I337" s="1412">
        <v>3.2765999999999998E-5</v>
      </c>
      <c r="J337" s="1413">
        <v>5.9536999999999995</v>
      </c>
    </row>
    <row r="338" spans="2:10" x14ac:dyDescent="0.25">
      <c r="B338" s="1410" t="s">
        <v>912</v>
      </c>
      <c r="C338" s="1411">
        <v>2050</v>
      </c>
      <c r="D338" s="1410">
        <v>1209000</v>
      </c>
      <c r="E338" s="1412">
        <v>1202000</v>
      </c>
      <c r="F338" s="1413">
        <v>1052000</v>
      </c>
      <c r="G338" s="1410">
        <v>17.969000000000001</v>
      </c>
      <c r="H338" s="1412">
        <v>0.164128</v>
      </c>
      <c r="I338" s="1412">
        <v>2.9025999999999998E-4</v>
      </c>
      <c r="J338" s="1413">
        <v>22.988</v>
      </c>
    </row>
    <row r="339" spans="2:10" x14ac:dyDescent="0.25">
      <c r="B339" s="1410" t="s">
        <v>910</v>
      </c>
      <c r="C339" s="1411">
        <v>2050</v>
      </c>
      <c r="D339" s="1410">
        <v>1585000</v>
      </c>
      <c r="E339" s="1412">
        <v>696300</v>
      </c>
      <c r="F339" s="1413">
        <v>286000</v>
      </c>
      <c r="G339" s="1410">
        <v>38.049999999999997</v>
      </c>
      <c r="H339" s="1412">
        <v>0.1118</v>
      </c>
      <c r="I339" s="1412">
        <v>2.5350000000000001E-2</v>
      </c>
      <c r="J339" s="1413">
        <v>45.19</v>
      </c>
    </row>
    <row r="340" spans="2:10" x14ac:dyDescent="0.25">
      <c r="B340" s="1410" t="s">
        <v>913</v>
      </c>
      <c r="C340" s="1411">
        <v>2050</v>
      </c>
      <c r="D340" s="1410">
        <v>1249000</v>
      </c>
      <c r="E340" s="1412">
        <v>1242000</v>
      </c>
      <c r="F340" s="1413">
        <v>1078000</v>
      </c>
      <c r="G340" s="1410">
        <v>23.84</v>
      </c>
      <c r="H340" s="1412">
        <v>0.16985799999999998</v>
      </c>
      <c r="I340" s="1412">
        <v>3.7813000000000001E-4</v>
      </c>
      <c r="J340" s="1413">
        <v>29.157000000000004</v>
      </c>
    </row>
    <row r="341" spans="2:10" x14ac:dyDescent="0.25">
      <c r="B341" s="1410" t="s">
        <v>1081</v>
      </c>
      <c r="C341" s="1411">
        <v>2050</v>
      </c>
      <c r="D341" s="1410">
        <v>1190000</v>
      </c>
      <c r="E341" s="1412">
        <v>51590</v>
      </c>
      <c r="F341" s="1413">
        <v>29220</v>
      </c>
      <c r="G341" s="1410">
        <v>3.7582</v>
      </c>
      <c r="H341" s="1412">
        <v>8.4366999999999984E-3</v>
      </c>
      <c r="I341" s="1412">
        <v>-3.8261190000000002E-3</v>
      </c>
      <c r="J341" s="1413">
        <v>3.0054000000000003</v>
      </c>
    </row>
    <row r="342" spans="2:10" x14ac:dyDescent="0.25">
      <c r="B342" s="1410" t="s">
        <v>815</v>
      </c>
      <c r="C342" s="1411">
        <v>2050</v>
      </c>
      <c r="D342" s="1410">
        <v>1190000</v>
      </c>
      <c r="E342" s="1412">
        <v>51590</v>
      </c>
      <c r="F342" s="1413">
        <v>29220</v>
      </c>
      <c r="G342" s="1410">
        <v>3.7582</v>
      </c>
      <c r="H342" s="1412">
        <v>8.4366999999999984E-3</v>
      </c>
      <c r="I342" s="1412">
        <v>-3.8261190000000002E-3</v>
      </c>
      <c r="J342" s="1413">
        <v>3.0054000000000003</v>
      </c>
    </row>
    <row r="343" spans="2:10" x14ac:dyDescent="0.25">
      <c r="B343" s="1410" t="s">
        <v>824</v>
      </c>
      <c r="C343" s="1411">
        <v>2050</v>
      </c>
      <c r="D343" s="1410">
        <v>1190000</v>
      </c>
      <c r="E343" s="1412">
        <v>51590</v>
      </c>
      <c r="F343" s="1413">
        <v>29220</v>
      </c>
      <c r="G343" s="1410">
        <v>3.7582</v>
      </c>
      <c r="H343" s="1412">
        <v>8.4366999999999984E-3</v>
      </c>
      <c r="I343" s="1412">
        <v>-3.8261190000000002E-3</v>
      </c>
      <c r="J343" s="1413">
        <v>3.0054000000000003</v>
      </c>
    </row>
    <row r="344" spans="2:10" ht="13" thickBot="1" x14ac:dyDescent="0.3">
      <c r="B344" s="1414" t="s">
        <v>1088</v>
      </c>
      <c r="C344" s="1415">
        <v>2050</v>
      </c>
      <c r="D344" s="1414">
        <v>1384000</v>
      </c>
      <c r="E344" s="1416">
        <v>1383000</v>
      </c>
      <c r="F344" s="1417">
        <v>5034</v>
      </c>
      <c r="G344" s="1414">
        <v>78.571100000000001</v>
      </c>
      <c r="H344" s="1416">
        <v>0.27494000000000002</v>
      </c>
      <c r="I344" s="1416">
        <v>2.3304000000000003E-3</v>
      </c>
      <c r="J344" s="1417">
        <v>87.594300000000004</v>
      </c>
    </row>
    <row r="345" spans="2:10" x14ac:dyDescent="0.25">
      <c r="B345" s="1406" t="s">
        <v>1085</v>
      </c>
      <c r="C345" s="1407">
        <v>2055</v>
      </c>
      <c r="D345" s="1406">
        <v>1092000</v>
      </c>
      <c r="E345" s="1408">
        <v>1092000</v>
      </c>
      <c r="F345" s="1409">
        <v>3971</v>
      </c>
      <c r="G345" s="1406">
        <v>5.7390999999999996</v>
      </c>
      <c r="H345" s="1408">
        <v>0.18462200000000001</v>
      </c>
      <c r="I345" s="1408">
        <v>8.61E-4</v>
      </c>
      <c r="J345" s="1409">
        <v>11.5648</v>
      </c>
    </row>
    <row r="346" spans="2:10" x14ac:dyDescent="0.25">
      <c r="B346" s="1410" t="s">
        <v>283</v>
      </c>
      <c r="C346" s="1411">
        <v>2055</v>
      </c>
      <c r="D346" s="1410">
        <v>1092000</v>
      </c>
      <c r="E346" s="1412">
        <v>1092000</v>
      </c>
      <c r="F346" s="1413">
        <v>3971</v>
      </c>
      <c r="G346" s="1410">
        <v>5.7390999999999996</v>
      </c>
      <c r="H346" s="1412">
        <v>0.18462200000000001</v>
      </c>
      <c r="I346" s="1412">
        <v>8.61E-4</v>
      </c>
      <c r="J346" s="1413">
        <v>11.5648</v>
      </c>
    </row>
    <row r="347" spans="2:10" x14ac:dyDescent="0.25">
      <c r="B347" s="1410" t="s">
        <v>1086</v>
      </c>
      <c r="C347" s="1411">
        <v>2055</v>
      </c>
      <c r="D347" s="1410">
        <v>1092000</v>
      </c>
      <c r="E347" s="1412">
        <v>1092000</v>
      </c>
      <c r="F347" s="1413">
        <v>3971</v>
      </c>
      <c r="G347" s="1410">
        <v>5.7390999999999996</v>
      </c>
      <c r="H347" s="1412">
        <v>0.18462200000000001</v>
      </c>
      <c r="I347" s="1412">
        <v>8.61E-4</v>
      </c>
      <c r="J347" s="1413">
        <v>11.5648</v>
      </c>
    </row>
    <row r="348" spans="2:10" x14ac:dyDescent="0.25">
      <c r="B348" s="1410" t="s">
        <v>681</v>
      </c>
      <c r="C348" s="1411">
        <v>2055</v>
      </c>
      <c r="D348" s="1410">
        <v>1092000</v>
      </c>
      <c r="E348" s="1412">
        <v>1092000</v>
      </c>
      <c r="F348" s="1413">
        <v>3971</v>
      </c>
      <c r="G348" s="1410">
        <v>5.7390999999999996</v>
      </c>
      <c r="H348" s="1412">
        <v>0.18462200000000001</v>
      </c>
      <c r="I348" s="1412">
        <v>8.61E-4</v>
      </c>
      <c r="J348" s="1413">
        <v>11.5648</v>
      </c>
    </row>
    <row r="349" spans="2:10" x14ac:dyDescent="0.25">
      <c r="B349" s="1410" t="s">
        <v>682</v>
      </c>
      <c r="C349" s="1411">
        <v>2055</v>
      </c>
      <c r="D349" s="1410">
        <v>-1185000</v>
      </c>
      <c r="E349" s="1412">
        <v>0</v>
      </c>
      <c r="F349" s="1413">
        <v>0</v>
      </c>
      <c r="G349" s="1410">
        <v>-85.800000000000011</v>
      </c>
      <c r="H349" s="1412">
        <v>0.54700000000000004</v>
      </c>
      <c r="I349" s="1412">
        <v>-1.8286999999999999E-3</v>
      </c>
      <c r="J349" s="1413">
        <v>-70.08</v>
      </c>
    </row>
    <row r="350" spans="2:10" x14ac:dyDescent="0.25">
      <c r="B350" s="1410" t="s">
        <v>683</v>
      </c>
      <c r="C350" s="1411">
        <v>2055</v>
      </c>
      <c r="D350" s="1410">
        <v>1721000</v>
      </c>
      <c r="E350" s="1412">
        <v>1293000</v>
      </c>
      <c r="F350" s="1413">
        <v>15050</v>
      </c>
      <c r="G350" s="1410">
        <v>125.08</v>
      </c>
      <c r="H350" s="1412">
        <v>0.20477100000000001</v>
      </c>
      <c r="I350" s="1412">
        <v>1.7827000000000001E-3</v>
      </c>
      <c r="J350" s="1413">
        <v>129.82</v>
      </c>
    </row>
    <row r="351" spans="2:10" x14ac:dyDescent="0.25">
      <c r="B351" s="1410" t="s">
        <v>698</v>
      </c>
      <c r="C351" s="1411">
        <v>2055</v>
      </c>
      <c r="D351" s="1410">
        <v>1721000</v>
      </c>
      <c r="E351" s="1412">
        <v>1293000</v>
      </c>
      <c r="F351" s="1413">
        <v>15050</v>
      </c>
      <c r="G351" s="1410">
        <v>125.08</v>
      </c>
      <c r="H351" s="1412">
        <v>0.20477100000000001</v>
      </c>
      <c r="I351" s="1412">
        <v>1.7827000000000001E-3</v>
      </c>
      <c r="J351" s="1413">
        <v>129.82</v>
      </c>
    </row>
    <row r="352" spans="2:10" x14ac:dyDescent="0.25">
      <c r="B352" s="1410" t="s">
        <v>684</v>
      </c>
      <c r="C352" s="1411">
        <v>2055</v>
      </c>
      <c r="D352" s="1410">
        <v>1721000</v>
      </c>
      <c r="E352" s="1412">
        <v>1293000</v>
      </c>
      <c r="F352" s="1413">
        <v>15050</v>
      </c>
      <c r="G352" s="1410">
        <v>125.08</v>
      </c>
      <c r="H352" s="1412">
        <v>0.20477100000000001</v>
      </c>
      <c r="I352" s="1412">
        <v>1.7827000000000001E-3</v>
      </c>
      <c r="J352" s="1413">
        <v>129.82</v>
      </c>
    </row>
    <row r="353" spans="2:10" x14ac:dyDescent="0.25">
      <c r="B353" s="1410" t="s">
        <v>1087</v>
      </c>
      <c r="C353" s="1411">
        <v>2055</v>
      </c>
      <c r="D353" s="1410">
        <v>1022000</v>
      </c>
      <c r="E353" s="1412">
        <v>1021000</v>
      </c>
      <c r="F353" s="1413">
        <v>15510</v>
      </c>
      <c r="G353" s="1410">
        <v>1.6964999999999999</v>
      </c>
      <c r="H353" s="1412">
        <v>0.14096238999999999</v>
      </c>
      <c r="I353" s="1412">
        <v>3.2765999999999998E-5</v>
      </c>
      <c r="J353" s="1413">
        <v>5.9536999999999995</v>
      </c>
    </row>
    <row r="354" spans="2:10" x14ac:dyDescent="0.25">
      <c r="B354" s="1410" t="s">
        <v>716</v>
      </c>
      <c r="C354" s="1411">
        <v>2055</v>
      </c>
      <c r="D354" s="1410">
        <v>1022000</v>
      </c>
      <c r="E354" s="1412">
        <v>1021000</v>
      </c>
      <c r="F354" s="1413">
        <v>15510</v>
      </c>
      <c r="G354" s="1410">
        <v>1.6964999999999999</v>
      </c>
      <c r="H354" s="1412">
        <v>0.14096238999999999</v>
      </c>
      <c r="I354" s="1412">
        <v>3.2765999999999998E-5</v>
      </c>
      <c r="J354" s="1413">
        <v>5.9536999999999995</v>
      </c>
    </row>
    <row r="355" spans="2:10" x14ac:dyDescent="0.25">
      <c r="B355" s="1410" t="s">
        <v>717</v>
      </c>
      <c r="C355" s="1411">
        <v>2055</v>
      </c>
      <c r="D355" s="1410">
        <v>1022000</v>
      </c>
      <c r="E355" s="1412">
        <v>1021000</v>
      </c>
      <c r="F355" s="1413">
        <v>15510</v>
      </c>
      <c r="G355" s="1410">
        <v>1.6964999999999999</v>
      </c>
      <c r="H355" s="1412">
        <v>0.14096238999999999</v>
      </c>
      <c r="I355" s="1412">
        <v>3.2765999999999998E-5</v>
      </c>
      <c r="J355" s="1413">
        <v>5.9536999999999995</v>
      </c>
    </row>
    <row r="356" spans="2:10" x14ac:dyDescent="0.25">
      <c r="B356" s="1410" t="s">
        <v>912</v>
      </c>
      <c r="C356" s="1411">
        <v>2055</v>
      </c>
      <c r="D356" s="1410">
        <v>1209000</v>
      </c>
      <c r="E356" s="1412">
        <v>1202000</v>
      </c>
      <c r="F356" s="1413">
        <v>1052000</v>
      </c>
      <c r="G356" s="1410">
        <v>17.969000000000001</v>
      </c>
      <c r="H356" s="1412">
        <v>0.164128</v>
      </c>
      <c r="I356" s="1412">
        <v>2.9025999999999998E-4</v>
      </c>
      <c r="J356" s="1413">
        <v>22.988</v>
      </c>
    </row>
    <row r="357" spans="2:10" x14ac:dyDescent="0.25">
      <c r="B357" s="1410" t="s">
        <v>910</v>
      </c>
      <c r="C357" s="1411">
        <v>2055</v>
      </c>
      <c r="D357" s="1410">
        <v>1585000</v>
      </c>
      <c r="E357" s="1412">
        <v>696300</v>
      </c>
      <c r="F357" s="1413">
        <v>286000</v>
      </c>
      <c r="G357" s="1410">
        <v>38.049999999999997</v>
      </c>
      <c r="H357" s="1412">
        <v>0.1118</v>
      </c>
      <c r="I357" s="1412">
        <v>2.5350000000000001E-2</v>
      </c>
      <c r="J357" s="1413">
        <v>45.19</v>
      </c>
    </row>
    <row r="358" spans="2:10" x14ac:dyDescent="0.25">
      <c r="B358" s="1410" t="s">
        <v>913</v>
      </c>
      <c r="C358" s="1411">
        <v>2055</v>
      </c>
      <c r="D358" s="1410">
        <v>1249000</v>
      </c>
      <c r="E358" s="1412">
        <v>1242000</v>
      </c>
      <c r="F358" s="1413">
        <v>1078000</v>
      </c>
      <c r="G358" s="1410">
        <v>23.84</v>
      </c>
      <c r="H358" s="1412">
        <v>0.16985799999999998</v>
      </c>
      <c r="I358" s="1412">
        <v>3.7813000000000001E-4</v>
      </c>
      <c r="J358" s="1413">
        <v>29.157000000000004</v>
      </c>
    </row>
    <row r="359" spans="2:10" x14ac:dyDescent="0.25">
      <c r="B359" s="1410" t="s">
        <v>1081</v>
      </c>
      <c r="C359" s="1411">
        <v>2055</v>
      </c>
      <c r="D359" s="1410">
        <v>1190000</v>
      </c>
      <c r="E359" s="1412">
        <v>51590</v>
      </c>
      <c r="F359" s="1413">
        <v>29220</v>
      </c>
      <c r="G359" s="1410">
        <v>3.7582</v>
      </c>
      <c r="H359" s="1412">
        <v>8.4366999999999984E-3</v>
      </c>
      <c r="I359" s="1412">
        <v>-3.8261190000000002E-3</v>
      </c>
      <c r="J359" s="1413">
        <v>3.0054000000000003</v>
      </c>
    </row>
    <row r="360" spans="2:10" x14ac:dyDescent="0.25">
      <c r="B360" s="1410" t="s">
        <v>815</v>
      </c>
      <c r="C360" s="1411">
        <v>2055</v>
      </c>
      <c r="D360" s="1410">
        <v>1190000</v>
      </c>
      <c r="E360" s="1412">
        <v>51590</v>
      </c>
      <c r="F360" s="1413">
        <v>29220</v>
      </c>
      <c r="G360" s="1410">
        <v>3.7582</v>
      </c>
      <c r="H360" s="1412">
        <v>8.4366999999999984E-3</v>
      </c>
      <c r="I360" s="1412">
        <v>-3.8261190000000002E-3</v>
      </c>
      <c r="J360" s="1413">
        <v>3.0054000000000003</v>
      </c>
    </row>
    <row r="361" spans="2:10" x14ac:dyDescent="0.25">
      <c r="B361" s="1410" t="s">
        <v>824</v>
      </c>
      <c r="C361" s="1411">
        <v>2055</v>
      </c>
      <c r="D361" s="1410">
        <v>1190000</v>
      </c>
      <c r="E361" s="1412">
        <v>51590</v>
      </c>
      <c r="F361" s="1413">
        <v>29220</v>
      </c>
      <c r="G361" s="1410">
        <v>3.7582</v>
      </c>
      <c r="H361" s="1412">
        <v>8.4366999999999984E-3</v>
      </c>
      <c r="I361" s="1412">
        <v>-3.8261190000000002E-3</v>
      </c>
      <c r="J361" s="1413">
        <v>3.0054000000000003</v>
      </c>
    </row>
    <row r="362" spans="2:10" ht="13" thickBot="1" x14ac:dyDescent="0.3">
      <c r="B362" s="1414" t="s">
        <v>1088</v>
      </c>
      <c r="C362" s="1415">
        <v>2055</v>
      </c>
      <c r="D362" s="1414">
        <v>1384000</v>
      </c>
      <c r="E362" s="1416">
        <v>1383000</v>
      </c>
      <c r="F362" s="1417">
        <v>5034</v>
      </c>
      <c r="G362" s="1414">
        <v>78.571100000000001</v>
      </c>
      <c r="H362" s="1416">
        <v>0.27494000000000002</v>
      </c>
      <c r="I362" s="1416">
        <v>2.3304000000000003E-3</v>
      </c>
      <c r="J362" s="1417">
        <v>87.594300000000004</v>
      </c>
    </row>
    <row r="363" spans="2:10" x14ac:dyDescent="0.25">
      <c r="B363" s="1406" t="s">
        <v>1085</v>
      </c>
      <c r="C363" s="1407">
        <v>2060</v>
      </c>
      <c r="D363" s="1406">
        <v>1092000</v>
      </c>
      <c r="E363" s="1408">
        <v>1092000</v>
      </c>
      <c r="F363" s="1409">
        <v>3971</v>
      </c>
      <c r="G363" s="1406">
        <v>5.7390999999999996</v>
      </c>
      <c r="H363" s="1408">
        <v>0.18462200000000001</v>
      </c>
      <c r="I363" s="1408">
        <v>8.61E-4</v>
      </c>
      <c r="J363" s="1409">
        <v>11.5648</v>
      </c>
    </row>
    <row r="364" spans="2:10" x14ac:dyDescent="0.25">
      <c r="B364" s="1410" t="s">
        <v>283</v>
      </c>
      <c r="C364" s="1411">
        <v>2060</v>
      </c>
      <c r="D364" s="1410">
        <v>1092000</v>
      </c>
      <c r="E364" s="1412">
        <v>1092000</v>
      </c>
      <c r="F364" s="1413">
        <v>3971</v>
      </c>
      <c r="G364" s="1410">
        <v>5.7390999999999996</v>
      </c>
      <c r="H364" s="1412">
        <v>0.18462200000000001</v>
      </c>
      <c r="I364" s="1412">
        <v>8.61E-4</v>
      </c>
      <c r="J364" s="1413">
        <v>11.5648</v>
      </c>
    </row>
    <row r="365" spans="2:10" x14ac:dyDescent="0.25">
      <c r="B365" s="1410" t="s">
        <v>1086</v>
      </c>
      <c r="C365" s="1411">
        <v>2060</v>
      </c>
      <c r="D365" s="1410">
        <v>1092000</v>
      </c>
      <c r="E365" s="1412">
        <v>1092000</v>
      </c>
      <c r="F365" s="1413">
        <v>3971</v>
      </c>
      <c r="G365" s="1410">
        <v>5.7390999999999996</v>
      </c>
      <c r="H365" s="1412">
        <v>0.18462200000000001</v>
      </c>
      <c r="I365" s="1412">
        <v>8.61E-4</v>
      </c>
      <c r="J365" s="1413">
        <v>11.5648</v>
      </c>
    </row>
    <row r="366" spans="2:10" x14ac:dyDescent="0.25">
      <c r="B366" s="1410" t="s">
        <v>681</v>
      </c>
      <c r="C366" s="1411">
        <v>2060</v>
      </c>
      <c r="D366" s="1410">
        <v>1092000</v>
      </c>
      <c r="E366" s="1412">
        <v>1092000</v>
      </c>
      <c r="F366" s="1413">
        <v>3971</v>
      </c>
      <c r="G366" s="1410">
        <v>5.7390999999999996</v>
      </c>
      <c r="H366" s="1412">
        <v>0.18462200000000001</v>
      </c>
      <c r="I366" s="1412">
        <v>8.61E-4</v>
      </c>
      <c r="J366" s="1413">
        <v>11.5648</v>
      </c>
    </row>
    <row r="367" spans="2:10" x14ac:dyDescent="0.25">
      <c r="B367" s="1410" t="s">
        <v>682</v>
      </c>
      <c r="C367" s="1411">
        <v>2060</v>
      </c>
      <c r="D367" s="1410">
        <v>-1185000</v>
      </c>
      <c r="E367" s="1412">
        <v>0</v>
      </c>
      <c r="F367" s="1413">
        <v>0</v>
      </c>
      <c r="G367" s="1410">
        <v>-85.800000000000011</v>
      </c>
      <c r="H367" s="1412">
        <v>0.54700000000000004</v>
      </c>
      <c r="I367" s="1412">
        <v>-1.8286999999999999E-3</v>
      </c>
      <c r="J367" s="1413">
        <v>-70.08</v>
      </c>
    </row>
    <row r="368" spans="2:10" x14ac:dyDescent="0.25">
      <c r="B368" s="1410" t="s">
        <v>683</v>
      </c>
      <c r="C368" s="1411">
        <v>2060</v>
      </c>
      <c r="D368" s="1410">
        <v>1721000</v>
      </c>
      <c r="E368" s="1412">
        <v>1293000</v>
      </c>
      <c r="F368" s="1413">
        <v>15050</v>
      </c>
      <c r="G368" s="1410">
        <v>125.08</v>
      </c>
      <c r="H368" s="1412">
        <v>0.20477100000000001</v>
      </c>
      <c r="I368" s="1412">
        <v>1.7827000000000001E-3</v>
      </c>
      <c r="J368" s="1413">
        <v>129.82</v>
      </c>
    </row>
    <row r="369" spans="2:10" x14ac:dyDescent="0.25">
      <c r="B369" s="1410" t="s">
        <v>698</v>
      </c>
      <c r="C369" s="1411">
        <v>2060</v>
      </c>
      <c r="D369" s="1410">
        <v>1721000</v>
      </c>
      <c r="E369" s="1412">
        <v>1293000</v>
      </c>
      <c r="F369" s="1413">
        <v>15050</v>
      </c>
      <c r="G369" s="1410">
        <v>125.08</v>
      </c>
      <c r="H369" s="1412">
        <v>0.20477100000000001</v>
      </c>
      <c r="I369" s="1412">
        <v>1.7827000000000001E-3</v>
      </c>
      <c r="J369" s="1413">
        <v>129.82</v>
      </c>
    </row>
    <row r="370" spans="2:10" x14ac:dyDescent="0.25">
      <c r="B370" s="1410" t="s">
        <v>684</v>
      </c>
      <c r="C370" s="1411">
        <v>2060</v>
      </c>
      <c r="D370" s="1410">
        <v>1721000</v>
      </c>
      <c r="E370" s="1412">
        <v>1293000</v>
      </c>
      <c r="F370" s="1413">
        <v>15050</v>
      </c>
      <c r="G370" s="1410">
        <v>125.08</v>
      </c>
      <c r="H370" s="1412">
        <v>0.20477100000000001</v>
      </c>
      <c r="I370" s="1412">
        <v>1.7827000000000001E-3</v>
      </c>
      <c r="J370" s="1413">
        <v>129.82</v>
      </c>
    </row>
    <row r="371" spans="2:10" x14ac:dyDescent="0.25">
      <c r="B371" s="1410" t="s">
        <v>1087</v>
      </c>
      <c r="C371" s="1411">
        <v>2060</v>
      </c>
      <c r="D371" s="1410">
        <v>1022000</v>
      </c>
      <c r="E371" s="1412">
        <v>1021000</v>
      </c>
      <c r="F371" s="1413">
        <v>15510</v>
      </c>
      <c r="G371" s="1410">
        <v>1.6964999999999999</v>
      </c>
      <c r="H371" s="1412">
        <v>0.14096238999999999</v>
      </c>
      <c r="I371" s="1412">
        <v>3.2765999999999998E-5</v>
      </c>
      <c r="J371" s="1413">
        <v>5.9536999999999995</v>
      </c>
    </row>
    <row r="372" spans="2:10" x14ac:dyDescent="0.25">
      <c r="B372" s="1410" t="s">
        <v>716</v>
      </c>
      <c r="C372" s="1411">
        <v>2060</v>
      </c>
      <c r="D372" s="1410">
        <v>1022000</v>
      </c>
      <c r="E372" s="1412">
        <v>1021000</v>
      </c>
      <c r="F372" s="1413">
        <v>15510</v>
      </c>
      <c r="G372" s="1410">
        <v>1.6964999999999999</v>
      </c>
      <c r="H372" s="1412">
        <v>0.14096238999999999</v>
      </c>
      <c r="I372" s="1412">
        <v>3.2765999999999998E-5</v>
      </c>
      <c r="J372" s="1413">
        <v>5.9536999999999995</v>
      </c>
    </row>
    <row r="373" spans="2:10" x14ac:dyDescent="0.25">
      <c r="B373" s="1410" t="s">
        <v>717</v>
      </c>
      <c r="C373" s="1411">
        <v>2060</v>
      </c>
      <c r="D373" s="1410">
        <v>1022000</v>
      </c>
      <c r="E373" s="1412">
        <v>1021000</v>
      </c>
      <c r="F373" s="1413">
        <v>15510</v>
      </c>
      <c r="G373" s="1410">
        <v>1.6964999999999999</v>
      </c>
      <c r="H373" s="1412">
        <v>0.14096238999999999</v>
      </c>
      <c r="I373" s="1412">
        <v>3.2765999999999998E-5</v>
      </c>
      <c r="J373" s="1413">
        <v>5.9536999999999995</v>
      </c>
    </row>
    <row r="374" spans="2:10" x14ac:dyDescent="0.25">
      <c r="B374" s="1410" t="s">
        <v>912</v>
      </c>
      <c r="C374" s="1411">
        <v>2060</v>
      </c>
      <c r="D374" s="1410">
        <v>1209000</v>
      </c>
      <c r="E374" s="1412">
        <v>1202000</v>
      </c>
      <c r="F374" s="1413">
        <v>1052000</v>
      </c>
      <c r="G374" s="1410">
        <v>17.969000000000001</v>
      </c>
      <c r="H374" s="1412">
        <v>0.164128</v>
      </c>
      <c r="I374" s="1412">
        <v>2.9025999999999998E-4</v>
      </c>
      <c r="J374" s="1413">
        <v>22.988</v>
      </c>
    </row>
    <row r="375" spans="2:10" x14ac:dyDescent="0.25">
      <c r="B375" s="1410" t="s">
        <v>910</v>
      </c>
      <c r="C375" s="1411">
        <v>2060</v>
      </c>
      <c r="D375" s="1410">
        <v>1585000</v>
      </c>
      <c r="E375" s="1412">
        <v>696300</v>
      </c>
      <c r="F375" s="1413">
        <v>286000</v>
      </c>
      <c r="G375" s="1410">
        <v>38.049999999999997</v>
      </c>
      <c r="H375" s="1412">
        <v>0.1118</v>
      </c>
      <c r="I375" s="1412">
        <v>2.5350000000000001E-2</v>
      </c>
      <c r="J375" s="1413">
        <v>45.19</v>
      </c>
    </row>
    <row r="376" spans="2:10" x14ac:dyDescent="0.25">
      <c r="B376" s="1410" t="s">
        <v>913</v>
      </c>
      <c r="C376" s="1411">
        <v>2060</v>
      </c>
      <c r="D376" s="1410">
        <v>1249000</v>
      </c>
      <c r="E376" s="1412">
        <v>1242000</v>
      </c>
      <c r="F376" s="1413">
        <v>1078000</v>
      </c>
      <c r="G376" s="1410">
        <v>23.84</v>
      </c>
      <c r="H376" s="1412">
        <v>0.16985799999999998</v>
      </c>
      <c r="I376" s="1412">
        <v>3.7813000000000001E-4</v>
      </c>
      <c r="J376" s="1413">
        <v>29.157000000000004</v>
      </c>
    </row>
    <row r="377" spans="2:10" x14ac:dyDescent="0.25">
      <c r="B377" s="1410" t="s">
        <v>1081</v>
      </c>
      <c r="C377" s="1411">
        <v>2060</v>
      </c>
      <c r="D377" s="1410">
        <v>1190000</v>
      </c>
      <c r="E377" s="1412">
        <v>51590</v>
      </c>
      <c r="F377" s="1413">
        <v>29220</v>
      </c>
      <c r="G377" s="1410">
        <v>3.7582</v>
      </c>
      <c r="H377" s="1412">
        <v>8.4366999999999984E-3</v>
      </c>
      <c r="I377" s="1412">
        <v>-3.8261190000000002E-3</v>
      </c>
      <c r="J377" s="1413">
        <v>3.0054000000000003</v>
      </c>
    </row>
    <row r="378" spans="2:10" x14ac:dyDescent="0.25">
      <c r="B378" s="1410" t="s">
        <v>815</v>
      </c>
      <c r="C378" s="1411">
        <v>2060</v>
      </c>
      <c r="D378" s="1410">
        <v>1190000</v>
      </c>
      <c r="E378" s="1412">
        <v>51590</v>
      </c>
      <c r="F378" s="1413">
        <v>29220</v>
      </c>
      <c r="G378" s="1410">
        <v>3.7582</v>
      </c>
      <c r="H378" s="1412">
        <v>8.4366999999999984E-3</v>
      </c>
      <c r="I378" s="1412">
        <v>-3.8261190000000002E-3</v>
      </c>
      <c r="J378" s="1413">
        <v>3.0054000000000003</v>
      </c>
    </row>
    <row r="379" spans="2:10" x14ac:dyDescent="0.25">
      <c r="B379" s="1410" t="s">
        <v>824</v>
      </c>
      <c r="C379" s="1411">
        <v>2060</v>
      </c>
      <c r="D379" s="1410">
        <v>1190000</v>
      </c>
      <c r="E379" s="1412">
        <v>51590</v>
      </c>
      <c r="F379" s="1413">
        <v>29220</v>
      </c>
      <c r="G379" s="1410">
        <v>3.7582</v>
      </c>
      <c r="H379" s="1412">
        <v>8.4366999999999984E-3</v>
      </c>
      <c r="I379" s="1412">
        <v>-3.8261190000000002E-3</v>
      </c>
      <c r="J379" s="1413">
        <v>3.0054000000000003</v>
      </c>
    </row>
    <row r="380" spans="2:10" ht="13" thickBot="1" x14ac:dyDescent="0.3">
      <c r="B380" s="1414" t="s">
        <v>1088</v>
      </c>
      <c r="C380" s="1415">
        <v>2060</v>
      </c>
      <c r="D380" s="1414">
        <v>1384000</v>
      </c>
      <c r="E380" s="1416">
        <v>1383000</v>
      </c>
      <c r="F380" s="1417">
        <v>5034</v>
      </c>
      <c r="G380" s="1414">
        <v>78.571100000000001</v>
      </c>
      <c r="H380" s="1416">
        <v>0.27494000000000002</v>
      </c>
      <c r="I380" s="1416">
        <v>2.3304000000000003E-3</v>
      </c>
      <c r="J380" s="1417">
        <v>87.594300000000004</v>
      </c>
    </row>
    <row r="381" spans="2:10" x14ac:dyDescent="0.25">
      <c r="B381" s="1406" t="s">
        <v>1085</v>
      </c>
      <c r="C381" s="1407">
        <v>2065</v>
      </c>
      <c r="D381" s="1406">
        <v>1092000</v>
      </c>
      <c r="E381" s="1408">
        <v>1092000</v>
      </c>
      <c r="F381" s="1409">
        <v>3971</v>
      </c>
      <c r="G381" s="1406">
        <v>5.7390999999999996</v>
      </c>
      <c r="H381" s="1408">
        <v>0.18462200000000001</v>
      </c>
      <c r="I381" s="1408">
        <v>8.61E-4</v>
      </c>
      <c r="J381" s="1409">
        <v>11.5648</v>
      </c>
    </row>
    <row r="382" spans="2:10" x14ac:dyDescent="0.25">
      <c r="B382" s="1410" t="s">
        <v>283</v>
      </c>
      <c r="C382" s="1411">
        <v>2065</v>
      </c>
      <c r="D382" s="1410">
        <v>1092000</v>
      </c>
      <c r="E382" s="1412">
        <v>1092000</v>
      </c>
      <c r="F382" s="1413">
        <v>3971</v>
      </c>
      <c r="G382" s="1410">
        <v>5.7390999999999996</v>
      </c>
      <c r="H382" s="1412">
        <v>0.18462200000000001</v>
      </c>
      <c r="I382" s="1412">
        <v>8.61E-4</v>
      </c>
      <c r="J382" s="1413">
        <v>11.5648</v>
      </c>
    </row>
    <row r="383" spans="2:10" x14ac:dyDescent="0.25">
      <c r="B383" s="1410" t="s">
        <v>1086</v>
      </c>
      <c r="C383" s="1411">
        <v>2065</v>
      </c>
      <c r="D383" s="1410">
        <v>1092000</v>
      </c>
      <c r="E383" s="1412">
        <v>1092000</v>
      </c>
      <c r="F383" s="1413">
        <v>3971</v>
      </c>
      <c r="G383" s="1410">
        <v>5.7390999999999996</v>
      </c>
      <c r="H383" s="1412">
        <v>0.18462200000000001</v>
      </c>
      <c r="I383" s="1412">
        <v>8.61E-4</v>
      </c>
      <c r="J383" s="1413">
        <v>11.5648</v>
      </c>
    </row>
    <row r="384" spans="2:10" x14ac:dyDescent="0.25">
      <c r="B384" s="1410" t="s">
        <v>681</v>
      </c>
      <c r="C384" s="1411">
        <v>2065</v>
      </c>
      <c r="D384" s="1410">
        <v>1092000</v>
      </c>
      <c r="E384" s="1412">
        <v>1092000</v>
      </c>
      <c r="F384" s="1413">
        <v>3971</v>
      </c>
      <c r="G384" s="1410">
        <v>5.7390999999999996</v>
      </c>
      <c r="H384" s="1412">
        <v>0.18462200000000001</v>
      </c>
      <c r="I384" s="1412">
        <v>8.61E-4</v>
      </c>
      <c r="J384" s="1413">
        <v>11.5648</v>
      </c>
    </row>
    <row r="385" spans="2:10" x14ac:dyDescent="0.25">
      <c r="B385" s="1410" t="s">
        <v>682</v>
      </c>
      <c r="C385" s="1411">
        <v>2065</v>
      </c>
      <c r="D385" s="1410">
        <v>-1185000</v>
      </c>
      <c r="E385" s="1412">
        <v>0</v>
      </c>
      <c r="F385" s="1413">
        <v>0</v>
      </c>
      <c r="G385" s="1410">
        <v>-85.800000000000011</v>
      </c>
      <c r="H385" s="1412">
        <v>0.54700000000000004</v>
      </c>
      <c r="I385" s="1412">
        <v>-1.8286999999999999E-3</v>
      </c>
      <c r="J385" s="1413">
        <v>-70.08</v>
      </c>
    </row>
    <row r="386" spans="2:10" x14ac:dyDescent="0.25">
      <c r="B386" s="1410" t="s">
        <v>683</v>
      </c>
      <c r="C386" s="1411">
        <v>2065</v>
      </c>
      <c r="D386" s="1410">
        <v>1721000</v>
      </c>
      <c r="E386" s="1412">
        <v>1293000</v>
      </c>
      <c r="F386" s="1413">
        <v>15050</v>
      </c>
      <c r="G386" s="1410">
        <v>125.08</v>
      </c>
      <c r="H386" s="1412">
        <v>0.20477100000000001</v>
      </c>
      <c r="I386" s="1412">
        <v>1.7827000000000001E-3</v>
      </c>
      <c r="J386" s="1413">
        <v>129.82</v>
      </c>
    </row>
    <row r="387" spans="2:10" x14ac:dyDescent="0.25">
      <c r="B387" s="1410" t="s">
        <v>698</v>
      </c>
      <c r="C387" s="1411">
        <v>2065</v>
      </c>
      <c r="D387" s="1410">
        <v>1721000</v>
      </c>
      <c r="E387" s="1412">
        <v>1293000</v>
      </c>
      <c r="F387" s="1413">
        <v>15050</v>
      </c>
      <c r="G387" s="1410">
        <v>125.08</v>
      </c>
      <c r="H387" s="1412">
        <v>0.20477100000000001</v>
      </c>
      <c r="I387" s="1412">
        <v>1.7827000000000001E-3</v>
      </c>
      <c r="J387" s="1413">
        <v>129.82</v>
      </c>
    </row>
    <row r="388" spans="2:10" x14ac:dyDescent="0.25">
      <c r="B388" s="1410" t="s">
        <v>684</v>
      </c>
      <c r="C388" s="1411">
        <v>2065</v>
      </c>
      <c r="D388" s="1410">
        <v>1721000</v>
      </c>
      <c r="E388" s="1412">
        <v>1293000</v>
      </c>
      <c r="F388" s="1413">
        <v>15050</v>
      </c>
      <c r="G388" s="1410">
        <v>125.08</v>
      </c>
      <c r="H388" s="1412">
        <v>0.20477100000000001</v>
      </c>
      <c r="I388" s="1412">
        <v>1.7827000000000001E-3</v>
      </c>
      <c r="J388" s="1413">
        <v>129.82</v>
      </c>
    </row>
    <row r="389" spans="2:10" x14ac:dyDescent="0.25">
      <c r="B389" s="1410" t="s">
        <v>1087</v>
      </c>
      <c r="C389" s="1411">
        <v>2065</v>
      </c>
      <c r="D389" s="1410">
        <v>1022000</v>
      </c>
      <c r="E389" s="1412">
        <v>1021000</v>
      </c>
      <c r="F389" s="1413">
        <v>15510</v>
      </c>
      <c r="G389" s="1410">
        <v>1.6964999999999999</v>
      </c>
      <c r="H389" s="1412">
        <v>0.14096238999999999</v>
      </c>
      <c r="I389" s="1412">
        <v>3.2765999999999998E-5</v>
      </c>
      <c r="J389" s="1413">
        <v>5.9536999999999995</v>
      </c>
    </row>
    <row r="390" spans="2:10" x14ac:dyDescent="0.25">
      <c r="B390" s="1410" t="s">
        <v>716</v>
      </c>
      <c r="C390" s="1411">
        <v>2065</v>
      </c>
      <c r="D390" s="1410">
        <v>1022000</v>
      </c>
      <c r="E390" s="1412">
        <v>1021000</v>
      </c>
      <c r="F390" s="1413">
        <v>15510</v>
      </c>
      <c r="G390" s="1410">
        <v>1.6964999999999999</v>
      </c>
      <c r="H390" s="1412">
        <v>0.14096238999999999</v>
      </c>
      <c r="I390" s="1412">
        <v>3.2765999999999998E-5</v>
      </c>
      <c r="J390" s="1413">
        <v>5.9536999999999995</v>
      </c>
    </row>
    <row r="391" spans="2:10" x14ac:dyDescent="0.25">
      <c r="B391" s="1410" t="s">
        <v>717</v>
      </c>
      <c r="C391" s="1411">
        <v>2065</v>
      </c>
      <c r="D391" s="1410">
        <v>1022000</v>
      </c>
      <c r="E391" s="1412">
        <v>1021000</v>
      </c>
      <c r="F391" s="1413">
        <v>15510</v>
      </c>
      <c r="G391" s="1410">
        <v>1.6964999999999999</v>
      </c>
      <c r="H391" s="1412">
        <v>0.14096238999999999</v>
      </c>
      <c r="I391" s="1412">
        <v>3.2765999999999998E-5</v>
      </c>
      <c r="J391" s="1413">
        <v>5.9536999999999995</v>
      </c>
    </row>
    <row r="392" spans="2:10" x14ac:dyDescent="0.25">
      <c r="B392" s="1410" t="s">
        <v>912</v>
      </c>
      <c r="C392" s="1411">
        <v>2065</v>
      </c>
      <c r="D392" s="1410">
        <v>1209000</v>
      </c>
      <c r="E392" s="1412">
        <v>1202000</v>
      </c>
      <c r="F392" s="1413">
        <v>1052000</v>
      </c>
      <c r="G392" s="1410">
        <v>17.969000000000001</v>
      </c>
      <c r="H392" s="1412">
        <v>0.164128</v>
      </c>
      <c r="I392" s="1412">
        <v>2.9025999999999998E-4</v>
      </c>
      <c r="J392" s="1413">
        <v>22.988</v>
      </c>
    </row>
    <row r="393" spans="2:10" x14ac:dyDescent="0.25">
      <c r="B393" s="1410" t="s">
        <v>910</v>
      </c>
      <c r="C393" s="1411">
        <v>2065</v>
      </c>
      <c r="D393" s="1410">
        <v>1585000</v>
      </c>
      <c r="E393" s="1412">
        <v>696300</v>
      </c>
      <c r="F393" s="1413">
        <v>286000</v>
      </c>
      <c r="G393" s="1410">
        <v>38.049999999999997</v>
      </c>
      <c r="H393" s="1412">
        <v>0.1118</v>
      </c>
      <c r="I393" s="1412">
        <v>2.5350000000000001E-2</v>
      </c>
      <c r="J393" s="1413">
        <v>45.19</v>
      </c>
    </row>
    <row r="394" spans="2:10" x14ac:dyDescent="0.25">
      <c r="B394" s="1410" t="s">
        <v>913</v>
      </c>
      <c r="C394" s="1411">
        <v>2065</v>
      </c>
      <c r="D394" s="1410">
        <v>1249000</v>
      </c>
      <c r="E394" s="1412">
        <v>1242000</v>
      </c>
      <c r="F394" s="1413">
        <v>1078000</v>
      </c>
      <c r="G394" s="1410">
        <v>23.84</v>
      </c>
      <c r="H394" s="1412">
        <v>0.16985799999999998</v>
      </c>
      <c r="I394" s="1412">
        <v>3.7813000000000001E-4</v>
      </c>
      <c r="J394" s="1413">
        <v>29.157000000000004</v>
      </c>
    </row>
    <row r="395" spans="2:10" x14ac:dyDescent="0.25">
      <c r="B395" s="1410" t="s">
        <v>1081</v>
      </c>
      <c r="C395" s="1411">
        <v>2065</v>
      </c>
      <c r="D395" s="1410">
        <v>1190000</v>
      </c>
      <c r="E395" s="1412">
        <v>51590</v>
      </c>
      <c r="F395" s="1413">
        <v>29220</v>
      </c>
      <c r="G395" s="1410">
        <v>3.7582</v>
      </c>
      <c r="H395" s="1412">
        <v>8.4366999999999984E-3</v>
      </c>
      <c r="I395" s="1412">
        <v>-3.8261190000000002E-3</v>
      </c>
      <c r="J395" s="1413">
        <v>3.0054000000000003</v>
      </c>
    </row>
    <row r="396" spans="2:10" x14ac:dyDescent="0.25">
      <c r="B396" s="1410" t="s">
        <v>815</v>
      </c>
      <c r="C396" s="1411">
        <v>2065</v>
      </c>
      <c r="D396" s="1410">
        <v>1190000</v>
      </c>
      <c r="E396" s="1412">
        <v>51590</v>
      </c>
      <c r="F396" s="1413">
        <v>29220</v>
      </c>
      <c r="G396" s="1410">
        <v>3.7582</v>
      </c>
      <c r="H396" s="1412">
        <v>8.4366999999999984E-3</v>
      </c>
      <c r="I396" s="1412">
        <v>-3.8261190000000002E-3</v>
      </c>
      <c r="J396" s="1413">
        <v>3.0054000000000003</v>
      </c>
    </row>
    <row r="397" spans="2:10" x14ac:dyDescent="0.25">
      <c r="B397" s="1410" t="s">
        <v>824</v>
      </c>
      <c r="C397" s="1411">
        <v>2065</v>
      </c>
      <c r="D397" s="1410">
        <v>1190000</v>
      </c>
      <c r="E397" s="1412">
        <v>51590</v>
      </c>
      <c r="F397" s="1413">
        <v>29220</v>
      </c>
      <c r="G397" s="1410">
        <v>3.7582</v>
      </c>
      <c r="H397" s="1412">
        <v>8.4366999999999984E-3</v>
      </c>
      <c r="I397" s="1412">
        <v>-3.8261190000000002E-3</v>
      </c>
      <c r="J397" s="1413">
        <v>3.0054000000000003</v>
      </c>
    </row>
    <row r="398" spans="2:10" ht="13" thickBot="1" x14ac:dyDescent="0.3">
      <c r="B398" s="1414" t="s">
        <v>1088</v>
      </c>
      <c r="C398" s="1415">
        <v>2065</v>
      </c>
      <c r="D398" s="1414">
        <v>1384000</v>
      </c>
      <c r="E398" s="1416">
        <v>1383000</v>
      </c>
      <c r="F398" s="1417">
        <v>5034</v>
      </c>
      <c r="G398" s="1414">
        <v>78.571100000000001</v>
      </c>
      <c r="H398" s="1416">
        <v>0.27494000000000002</v>
      </c>
      <c r="I398" s="1416">
        <v>2.3304000000000003E-3</v>
      </c>
      <c r="J398" s="1417">
        <v>87.594300000000004</v>
      </c>
    </row>
    <row r="399" spans="2:10" x14ac:dyDescent="0.25">
      <c r="B399" s="1406" t="s">
        <v>1085</v>
      </c>
      <c r="C399" s="1407">
        <v>2070</v>
      </c>
      <c r="D399" s="1406">
        <v>1092000</v>
      </c>
      <c r="E399" s="1408">
        <v>1092000</v>
      </c>
      <c r="F399" s="1409">
        <v>3971</v>
      </c>
      <c r="G399" s="1406">
        <v>5.7390999999999996</v>
      </c>
      <c r="H399" s="1408">
        <v>0.18462200000000001</v>
      </c>
      <c r="I399" s="1408">
        <v>8.61E-4</v>
      </c>
      <c r="J399" s="1409">
        <v>11.5648</v>
      </c>
    </row>
    <row r="400" spans="2:10" x14ac:dyDescent="0.25">
      <c r="B400" s="1410" t="s">
        <v>283</v>
      </c>
      <c r="C400" s="1411">
        <v>2070</v>
      </c>
      <c r="D400" s="1410">
        <v>1092000</v>
      </c>
      <c r="E400" s="1412">
        <v>1092000</v>
      </c>
      <c r="F400" s="1413">
        <v>3971</v>
      </c>
      <c r="G400" s="1410">
        <v>5.7390999999999996</v>
      </c>
      <c r="H400" s="1412">
        <v>0.18462200000000001</v>
      </c>
      <c r="I400" s="1412">
        <v>8.61E-4</v>
      </c>
      <c r="J400" s="1413">
        <v>11.5648</v>
      </c>
    </row>
    <row r="401" spans="2:10" x14ac:dyDescent="0.25">
      <c r="B401" s="1410" t="s">
        <v>1086</v>
      </c>
      <c r="C401" s="1411">
        <v>2070</v>
      </c>
      <c r="D401" s="1410">
        <v>1092000</v>
      </c>
      <c r="E401" s="1412">
        <v>1092000</v>
      </c>
      <c r="F401" s="1413">
        <v>3971</v>
      </c>
      <c r="G401" s="1410">
        <v>5.7390999999999996</v>
      </c>
      <c r="H401" s="1412">
        <v>0.18462200000000001</v>
      </c>
      <c r="I401" s="1412">
        <v>8.61E-4</v>
      </c>
      <c r="J401" s="1413">
        <v>11.5648</v>
      </c>
    </row>
    <row r="402" spans="2:10" x14ac:dyDescent="0.25">
      <c r="B402" s="1410" t="s">
        <v>681</v>
      </c>
      <c r="C402" s="1411">
        <v>2070</v>
      </c>
      <c r="D402" s="1410">
        <v>1092000</v>
      </c>
      <c r="E402" s="1412">
        <v>1092000</v>
      </c>
      <c r="F402" s="1413">
        <v>3971</v>
      </c>
      <c r="G402" s="1410">
        <v>5.7390999999999996</v>
      </c>
      <c r="H402" s="1412">
        <v>0.18462200000000001</v>
      </c>
      <c r="I402" s="1412">
        <v>8.61E-4</v>
      </c>
      <c r="J402" s="1413">
        <v>11.5648</v>
      </c>
    </row>
    <row r="403" spans="2:10" x14ac:dyDescent="0.25">
      <c r="B403" s="1410" t="s">
        <v>682</v>
      </c>
      <c r="C403" s="1411">
        <v>2070</v>
      </c>
      <c r="D403" s="1410">
        <v>-1185000</v>
      </c>
      <c r="E403" s="1412">
        <v>0</v>
      </c>
      <c r="F403" s="1413">
        <v>0</v>
      </c>
      <c r="G403" s="1410">
        <v>-85.800000000000011</v>
      </c>
      <c r="H403" s="1412">
        <v>0.54700000000000004</v>
      </c>
      <c r="I403" s="1412">
        <v>-1.8286999999999999E-3</v>
      </c>
      <c r="J403" s="1413">
        <v>-70.08</v>
      </c>
    </row>
    <row r="404" spans="2:10" x14ac:dyDescent="0.25">
      <c r="B404" s="1410" t="s">
        <v>683</v>
      </c>
      <c r="C404" s="1411">
        <v>2070</v>
      </c>
      <c r="D404" s="1410">
        <v>1721000</v>
      </c>
      <c r="E404" s="1412">
        <v>1293000</v>
      </c>
      <c r="F404" s="1413">
        <v>15050</v>
      </c>
      <c r="G404" s="1410">
        <v>125.08</v>
      </c>
      <c r="H404" s="1412">
        <v>0.20477100000000001</v>
      </c>
      <c r="I404" s="1412">
        <v>1.7827000000000001E-3</v>
      </c>
      <c r="J404" s="1413">
        <v>129.82</v>
      </c>
    </row>
    <row r="405" spans="2:10" x14ac:dyDescent="0.25">
      <c r="B405" s="1410" t="s">
        <v>698</v>
      </c>
      <c r="C405" s="1411">
        <v>2070</v>
      </c>
      <c r="D405" s="1410">
        <v>1721000</v>
      </c>
      <c r="E405" s="1412">
        <v>1293000</v>
      </c>
      <c r="F405" s="1413">
        <v>15050</v>
      </c>
      <c r="G405" s="1410">
        <v>125.08</v>
      </c>
      <c r="H405" s="1412">
        <v>0.20477100000000001</v>
      </c>
      <c r="I405" s="1412">
        <v>1.7827000000000001E-3</v>
      </c>
      <c r="J405" s="1413">
        <v>129.82</v>
      </c>
    </row>
    <row r="406" spans="2:10" x14ac:dyDescent="0.25">
      <c r="B406" s="1410" t="s">
        <v>684</v>
      </c>
      <c r="C406" s="1411">
        <v>2070</v>
      </c>
      <c r="D406" s="1410">
        <v>1721000</v>
      </c>
      <c r="E406" s="1412">
        <v>1293000</v>
      </c>
      <c r="F406" s="1413">
        <v>15050</v>
      </c>
      <c r="G406" s="1410">
        <v>125.08</v>
      </c>
      <c r="H406" s="1412">
        <v>0.20477100000000001</v>
      </c>
      <c r="I406" s="1412">
        <v>1.7827000000000001E-3</v>
      </c>
      <c r="J406" s="1413">
        <v>129.82</v>
      </c>
    </row>
    <row r="407" spans="2:10" x14ac:dyDescent="0.25">
      <c r="B407" s="1410" t="s">
        <v>1087</v>
      </c>
      <c r="C407" s="1411">
        <v>2070</v>
      </c>
      <c r="D407" s="1410">
        <v>1022000</v>
      </c>
      <c r="E407" s="1412">
        <v>1021000</v>
      </c>
      <c r="F407" s="1413">
        <v>15510</v>
      </c>
      <c r="G407" s="1410">
        <v>1.6964999999999999</v>
      </c>
      <c r="H407" s="1412">
        <v>0.14096238999999999</v>
      </c>
      <c r="I407" s="1412">
        <v>3.2765999999999998E-5</v>
      </c>
      <c r="J407" s="1413">
        <v>5.9536999999999995</v>
      </c>
    </row>
    <row r="408" spans="2:10" x14ac:dyDescent="0.25">
      <c r="B408" s="1410" t="s">
        <v>716</v>
      </c>
      <c r="C408" s="1411">
        <v>2070</v>
      </c>
      <c r="D408" s="1410">
        <v>1022000</v>
      </c>
      <c r="E408" s="1412">
        <v>1021000</v>
      </c>
      <c r="F408" s="1413">
        <v>15510</v>
      </c>
      <c r="G408" s="1410">
        <v>1.6964999999999999</v>
      </c>
      <c r="H408" s="1412">
        <v>0.14096238999999999</v>
      </c>
      <c r="I408" s="1412">
        <v>3.2765999999999998E-5</v>
      </c>
      <c r="J408" s="1413">
        <v>5.9536999999999995</v>
      </c>
    </row>
    <row r="409" spans="2:10" x14ac:dyDescent="0.25">
      <c r="B409" s="1410" t="s">
        <v>717</v>
      </c>
      <c r="C409" s="1411">
        <v>2070</v>
      </c>
      <c r="D409" s="1410">
        <v>1022000</v>
      </c>
      <c r="E409" s="1412">
        <v>1021000</v>
      </c>
      <c r="F409" s="1413">
        <v>15510</v>
      </c>
      <c r="G409" s="1410">
        <v>1.6964999999999999</v>
      </c>
      <c r="H409" s="1412">
        <v>0.14096238999999999</v>
      </c>
      <c r="I409" s="1412">
        <v>3.2765999999999998E-5</v>
      </c>
      <c r="J409" s="1413">
        <v>5.9536999999999995</v>
      </c>
    </row>
    <row r="410" spans="2:10" x14ac:dyDescent="0.25">
      <c r="B410" s="1410" t="s">
        <v>912</v>
      </c>
      <c r="C410" s="1411">
        <v>2070</v>
      </c>
      <c r="D410" s="1410">
        <v>1209000</v>
      </c>
      <c r="E410" s="1412">
        <v>1202000</v>
      </c>
      <c r="F410" s="1413">
        <v>1052000</v>
      </c>
      <c r="G410" s="1410">
        <v>17.969000000000001</v>
      </c>
      <c r="H410" s="1412">
        <v>0.164128</v>
      </c>
      <c r="I410" s="1412">
        <v>2.9025999999999998E-4</v>
      </c>
      <c r="J410" s="1413">
        <v>22.988</v>
      </c>
    </row>
    <row r="411" spans="2:10" x14ac:dyDescent="0.25">
      <c r="B411" s="1410" t="s">
        <v>910</v>
      </c>
      <c r="C411" s="1411">
        <v>2070</v>
      </c>
      <c r="D411" s="1410">
        <v>1585000</v>
      </c>
      <c r="E411" s="1412">
        <v>696300</v>
      </c>
      <c r="F411" s="1413">
        <v>286000</v>
      </c>
      <c r="G411" s="1410">
        <v>38.049999999999997</v>
      </c>
      <c r="H411" s="1412">
        <v>0.1118</v>
      </c>
      <c r="I411" s="1412">
        <v>2.5350000000000001E-2</v>
      </c>
      <c r="J411" s="1413">
        <v>45.19</v>
      </c>
    </row>
    <row r="412" spans="2:10" x14ac:dyDescent="0.25">
      <c r="B412" s="1410" t="s">
        <v>913</v>
      </c>
      <c r="C412" s="1411">
        <v>2070</v>
      </c>
      <c r="D412" s="1410">
        <v>1249000</v>
      </c>
      <c r="E412" s="1412">
        <v>1242000</v>
      </c>
      <c r="F412" s="1413">
        <v>1078000</v>
      </c>
      <c r="G412" s="1410">
        <v>23.84</v>
      </c>
      <c r="H412" s="1412">
        <v>0.16985799999999998</v>
      </c>
      <c r="I412" s="1412">
        <v>3.7813000000000001E-4</v>
      </c>
      <c r="J412" s="1413">
        <v>29.157000000000004</v>
      </c>
    </row>
    <row r="413" spans="2:10" x14ac:dyDescent="0.25">
      <c r="B413" s="1410" t="s">
        <v>1081</v>
      </c>
      <c r="C413" s="1411">
        <v>2070</v>
      </c>
      <c r="D413" s="1410">
        <v>1190000</v>
      </c>
      <c r="E413" s="1412">
        <v>51590</v>
      </c>
      <c r="F413" s="1413">
        <v>29220</v>
      </c>
      <c r="G413" s="1410">
        <v>3.7582</v>
      </c>
      <c r="H413" s="1412">
        <v>8.4366999999999984E-3</v>
      </c>
      <c r="I413" s="1412">
        <v>-3.8261190000000002E-3</v>
      </c>
      <c r="J413" s="1413">
        <v>3.0054000000000003</v>
      </c>
    </row>
    <row r="414" spans="2:10" x14ac:dyDescent="0.25">
      <c r="B414" s="1410" t="s">
        <v>815</v>
      </c>
      <c r="C414" s="1411">
        <v>2070</v>
      </c>
      <c r="D414" s="1410">
        <v>1190000</v>
      </c>
      <c r="E414" s="1412">
        <v>51590</v>
      </c>
      <c r="F414" s="1413">
        <v>29220</v>
      </c>
      <c r="G414" s="1410">
        <v>3.7582</v>
      </c>
      <c r="H414" s="1412">
        <v>8.4366999999999984E-3</v>
      </c>
      <c r="I414" s="1412">
        <v>-3.8261190000000002E-3</v>
      </c>
      <c r="J414" s="1413">
        <v>3.0054000000000003</v>
      </c>
    </row>
    <row r="415" spans="2:10" x14ac:dyDescent="0.25">
      <c r="B415" s="1410" t="s">
        <v>824</v>
      </c>
      <c r="C415" s="1411">
        <v>2070</v>
      </c>
      <c r="D415" s="1410">
        <v>1190000</v>
      </c>
      <c r="E415" s="1412">
        <v>51590</v>
      </c>
      <c r="F415" s="1413">
        <v>29220</v>
      </c>
      <c r="G415" s="1410">
        <v>3.7582</v>
      </c>
      <c r="H415" s="1412">
        <v>8.4366999999999984E-3</v>
      </c>
      <c r="I415" s="1412">
        <v>-3.8261190000000002E-3</v>
      </c>
      <c r="J415" s="1413">
        <v>3.0054000000000003</v>
      </c>
    </row>
    <row r="416" spans="2:10" ht="13" thickBot="1" x14ac:dyDescent="0.3">
      <c r="B416" s="1414" t="s">
        <v>1088</v>
      </c>
      <c r="C416" s="1415">
        <v>2070</v>
      </c>
      <c r="D416" s="1414">
        <v>1384000</v>
      </c>
      <c r="E416" s="1416">
        <v>1383000</v>
      </c>
      <c r="F416" s="1417">
        <v>5034</v>
      </c>
      <c r="G416" s="1414">
        <v>78.571100000000001</v>
      </c>
      <c r="H416" s="1416">
        <v>0.27494000000000002</v>
      </c>
      <c r="I416" s="1416">
        <v>2.3304000000000003E-3</v>
      </c>
      <c r="J416" s="1417">
        <v>87.594300000000004</v>
      </c>
    </row>
    <row r="417" spans="2:10" x14ac:dyDescent="0.25">
      <c r="B417" s="1406" t="s">
        <v>1085</v>
      </c>
      <c r="C417" s="1407">
        <v>2075</v>
      </c>
      <c r="D417" s="1406">
        <v>1092000</v>
      </c>
      <c r="E417" s="1408">
        <v>1092000</v>
      </c>
      <c r="F417" s="1409">
        <v>3971</v>
      </c>
      <c r="G417" s="1406">
        <v>5.7390999999999996</v>
      </c>
      <c r="H417" s="1408">
        <v>0.18462200000000001</v>
      </c>
      <c r="I417" s="1408">
        <v>8.61E-4</v>
      </c>
      <c r="J417" s="1409">
        <v>11.5648</v>
      </c>
    </row>
    <row r="418" spans="2:10" x14ac:dyDescent="0.25">
      <c r="B418" s="1410" t="s">
        <v>283</v>
      </c>
      <c r="C418" s="1411">
        <v>2075</v>
      </c>
      <c r="D418" s="1410">
        <v>1092000</v>
      </c>
      <c r="E418" s="1412">
        <v>1092000</v>
      </c>
      <c r="F418" s="1413">
        <v>3971</v>
      </c>
      <c r="G418" s="1410">
        <v>5.7390999999999996</v>
      </c>
      <c r="H418" s="1412">
        <v>0.18462200000000001</v>
      </c>
      <c r="I418" s="1412">
        <v>8.61E-4</v>
      </c>
      <c r="J418" s="1413">
        <v>11.5648</v>
      </c>
    </row>
    <row r="419" spans="2:10" x14ac:dyDescent="0.25">
      <c r="B419" s="1410" t="s">
        <v>1086</v>
      </c>
      <c r="C419" s="1411">
        <v>2075</v>
      </c>
      <c r="D419" s="1410">
        <v>1092000</v>
      </c>
      <c r="E419" s="1412">
        <v>1092000</v>
      </c>
      <c r="F419" s="1413">
        <v>3971</v>
      </c>
      <c r="G419" s="1410">
        <v>5.7390999999999996</v>
      </c>
      <c r="H419" s="1412">
        <v>0.18462200000000001</v>
      </c>
      <c r="I419" s="1412">
        <v>8.61E-4</v>
      </c>
      <c r="J419" s="1413">
        <v>11.5648</v>
      </c>
    </row>
    <row r="420" spans="2:10" x14ac:dyDescent="0.25">
      <c r="B420" s="1410" t="s">
        <v>681</v>
      </c>
      <c r="C420" s="1411">
        <v>2075</v>
      </c>
      <c r="D420" s="1410">
        <v>1092000</v>
      </c>
      <c r="E420" s="1412">
        <v>1092000</v>
      </c>
      <c r="F420" s="1413">
        <v>3971</v>
      </c>
      <c r="G420" s="1410">
        <v>5.7390999999999996</v>
      </c>
      <c r="H420" s="1412">
        <v>0.18462200000000001</v>
      </c>
      <c r="I420" s="1412">
        <v>8.61E-4</v>
      </c>
      <c r="J420" s="1413">
        <v>11.5648</v>
      </c>
    </row>
    <row r="421" spans="2:10" x14ac:dyDescent="0.25">
      <c r="B421" s="1410" t="s">
        <v>682</v>
      </c>
      <c r="C421" s="1411">
        <v>2075</v>
      </c>
      <c r="D421" s="1410">
        <v>-1185000</v>
      </c>
      <c r="E421" s="1412">
        <v>0</v>
      </c>
      <c r="F421" s="1413">
        <v>0</v>
      </c>
      <c r="G421" s="1410">
        <v>-85.800000000000011</v>
      </c>
      <c r="H421" s="1412">
        <v>0.54700000000000004</v>
      </c>
      <c r="I421" s="1412">
        <v>-1.8286999999999999E-3</v>
      </c>
      <c r="J421" s="1413">
        <v>-70.08</v>
      </c>
    </row>
    <row r="422" spans="2:10" x14ac:dyDescent="0.25">
      <c r="B422" s="1410" t="s">
        <v>683</v>
      </c>
      <c r="C422" s="1411">
        <v>2075</v>
      </c>
      <c r="D422" s="1410">
        <v>1721000</v>
      </c>
      <c r="E422" s="1412">
        <v>1293000</v>
      </c>
      <c r="F422" s="1413">
        <v>15050</v>
      </c>
      <c r="G422" s="1410">
        <v>125.08</v>
      </c>
      <c r="H422" s="1412">
        <v>0.20477100000000001</v>
      </c>
      <c r="I422" s="1412">
        <v>1.7827000000000001E-3</v>
      </c>
      <c r="J422" s="1413">
        <v>129.82</v>
      </c>
    </row>
    <row r="423" spans="2:10" x14ac:dyDescent="0.25">
      <c r="B423" s="1410" t="s">
        <v>698</v>
      </c>
      <c r="C423" s="1411">
        <v>2075</v>
      </c>
      <c r="D423" s="1410">
        <v>1721000</v>
      </c>
      <c r="E423" s="1412">
        <v>1293000</v>
      </c>
      <c r="F423" s="1413">
        <v>15050</v>
      </c>
      <c r="G423" s="1410">
        <v>125.08</v>
      </c>
      <c r="H423" s="1412">
        <v>0.20477100000000001</v>
      </c>
      <c r="I423" s="1412">
        <v>1.7827000000000001E-3</v>
      </c>
      <c r="J423" s="1413">
        <v>129.82</v>
      </c>
    </row>
    <row r="424" spans="2:10" x14ac:dyDescent="0.25">
      <c r="B424" s="1410" t="s">
        <v>684</v>
      </c>
      <c r="C424" s="1411">
        <v>2075</v>
      </c>
      <c r="D424" s="1410">
        <v>1721000</v>
      </c>
      <c r="E424" s="1412">
        <v>1293000</v>
      </c>
      <c r="F424" s="1413">
        <v>15050</v>
      </c>
      <c r="G424" s="1410">
        <v>125.08</v>
      </c>
      <c r="H424" s="1412">
        <v>0.20477100000000001</v>
      </c>
      <c r="I424" s="1412">
        <v>1.7827000000000001E-3</v>
      </c>
      <c r="J424" s="1413">
        <v>129.82</v>
      </c>
    </row>
    <row r="425" spans="2:10" x14ac:dyDescent="0.25">
      <c r="B425" s="1410" t="s">
        <v>1087</v>
      </c>
      <c r="C425" s="1411">
        <v>2075</v>
      </c>
      <c r="D425" s="1410">
        <v>1022000</v>
      </c>
      <c r="E425" s="1412">
        <v>1021000</v>
      </c>
      <c r="F425" s="1413">
        <v>15510</v>
      </c>
      <c r="G425" s="1410">
        <v>1.6964999999999999</v>
      </c>
      <c r="H425" s="1412">
        <v>0.14096238999999999</v>
      </c>
      <c r="I425" s="1412">
        <v>3.2765999999999998E-5</v>
      </c>
      <c r="J425" s="1413">
        <v>5.9536999999999995</v>
      </c>
    </row>
    <row r="426" spans="2:10" x14ac:dyDescent="0.25">
      <c r="B426" s="1410" t="s">
        <v>716</v>
      </c>
      <c r="C426" s="1411">
        <v>2075</v>
      </c>
      <c r="D426" s="1410">
        <v>1022000</v>
      </c>
      <c r="E426" s="1412">
        <v>1021000</v>
      </c>
      <c r="F426" s="1413">
        <v>15510</v>
      </c>
      <c r="G426" s="1410">
        <v>1.6964999999999999</v>
      </c>
      <c r="H426" s="1412">
        <v>0.14096238999999999</v>
      </c>
      <c r="I426" s="1412">
        <v>3.2765999999999998E-5</v>
      </c>
      <c r="J426" s="1413">
        <v>5.9536999999999995</v>
      </c>
    </row>
    <row r="427" spans="2:10" x14ac:dyDescent="0.25">
      <c r="B427" s="1410" t="s">
        <v>717</v>
      </c>
      <c r="C427" s="1411">
        <v>2075</v>
      </c>
      <c r="D427" s="1410">
        <v>1022000</v>
      </c>
      <c r="E427" s="1412">
        <v>1021000</v>
      </c>
      <c r="F427" s="1413">
        <v>15510</v>
      </c>
      <c r="G427" s="1410">
        <v>1.6964999999999999</v>
      </c>
      <c r="H427" s="1412">
        <v>0.14096238999999999</v>
      </c>
      <c r="I427" s="1412">
        <v>3.2765999999999998E-5</v>
      </c>
      <c r="J427" s="1413">
        <v>5.9536999999999995</v>
      </c>
    </row>
    <row r="428" spans="2:10" x14ac:dyDescent="0.25">
      <c r="B428" s="1410" t="s">
        <v>912</v>
      </c>
      <c r="C428" s="1411">
        <v>2075</v>
      </c>
      <c r="D428" s="1410">
        <v>1209000</v>
      </c>
      <c r="E428" s="1412">
        <v>1202000</v>
      </c>
      <c r="F428" s="1413">
        <v>1052000</v>
      </c>
      <c r="G428" s="1410">
        <v>17.969000000000001</v>
      </c>
      <c r="H428" s="1412">
        <v>0.164128</v>
      </c>
      <c r="I428" s="1412">
        <v>2.9025999999999998E-4</v>
      </c>
      <c r="J428" s="1413">
        <v>22.988</v>
      </c>
    </row>
    <row r="429" spans="2:10" x14ac:dyDescent="0.25">
      <c r="B429" s="1410" t="s">
        <v>910</v>
      </c>
      <c r="C429" s="1411">
        <v>2075</v>
      </c>
      <c r="D429" s="1410">
        <v>1585000</v>
      </c>
      <c r="E429" s="1412">
        <v>696300</v>
      </c>
      <c r="F429" s="1413">
        <v>286000</v>
      </c>
      <c r="G429" s="1410">
        <v>38.049999999999997</v>
      </c>
      <c r="H429" s="1412">
        <v>0.1118</v>
      </c>
      <c r="I429" s="1412">
        <v>2.5350000000000001E-2</v>
      </c>
      <c r="J429" s="1413">
        <v>45.19</v>
      </c>
    </row>
    <row r="430" spans="2:10" x14ac:dyDescent="0.25">
      <c r="B430" s="1410" t="s">
        <v>913</v>
      </c>
      <c r="C430" s="1411">
        <v>2075</v>
      </c>
      <c r="D430" s="1410">
        <v>1249000</v>
      </c>
      <c r="E430" s="1412">
        <v>1242000</v>
      </c>
      <c r="F430" s="1413">
        <v>1078000</v>
      </c>
      <c r="G430" s="1410">
        <v>23.84</v>
      </c>
      <c r="H430" s="1412">
        <v>0.16985799999999998</v>
      </c>
      <c r="I430" s="1412">
        <v>3.7813000000000001E-4</v>
      </c>
      <c r="J430" s="1413">
        <v>29.157000000000004</v>
      </c>
    </row>
    <row r="431" spans="2:10" x14ac:dyDescent="0.25">
      <c r="B431" s="1410" t="s">
        <v>1081</v>
      </c>
      <c r="C431" s="1411">
        <v>2075</v>
      </c>
      <c r="D431" s="1410">
        <v>1190000</v>
      </c>
      <c r="E431" s="1412">
        <v>51590</v>
      </c>
      <c r="F431" s="1413">
        <v>29220</v>
      </c>
      <c r="G431" s="1410">
        <v>3.7582</v>
      </c>
      <c r="H431" s="1412">
        <v>8.4366999999999984E-3</v>
      </c>
      <c r="I431" s="1412">
        <v>-3.8261190000000002E-3</v>
      </c>
      <c r="J431" s="1413">
        <v>3.0054000000000003</v>
      </c>
    </row>
    <row r="432" spans="2:10" x14ac:dyDescent="0.25">
      <c r="B432" s="1410" t="s">
        <v>815</v>
      </c>
      <c r="C432" s="1411">
        <v>2075</v>
      </c>
      <c r="D432" s="1410">
        <v>1190000</v>
      </c>
      <c r="E432" s="1412">
        <v>51590</v>
      </c>
      <c r="F432" s="1413">
        <v>29220</v>
      </c>
      <c r="G432" s="1410">
        <v>3.7582</v>
      </c>
      <c r="H432" s="1412">
        <v>8.4366999999999984E-3</v>
      </c>
      <c r="I432" s="1412">
        <v>-3.8261190000000002E-3</v>
      </c>
      <c r="J432" s="1413">
        <v>3.0054000000000003</v>
      </c>
    </row>
    <row r="433" spans="2:10" x14ac:dyDescent="0.25">
      <c r="B433" s="1410" t="s">
        <v>824</v>
      </c>
      <c r="C433" s="1411">
        <v>2075</v>
      </c>
      <c r="D433" s="1410">
        <v>1190000</v>
      </c>
      <c r="E433" s="1412">
        <v>51590</v>
      </c>
      <c r="F433" s="1413">
        <v>29220</v>
      </c>
      <c r="G433" s="1410">
        <v>3.7582</v>
      </c>
      <c r="H433" s="1412">
        <v>8.4366999999999984E-3</v>
      </c>
      <c r="I433" s="1412">
        <v>-3.8261190000000002E-3</v>
      </c>
      <c r="J433" s="1413">
        <v>3.0054000000000003</v>
      </c>
    </row>
    <row r="434" spans="2:10" ht="13" thickBot="1" x14ac:dyDescent="0.3">
      <c r="B434" s="1414" t="s">
        <v>1088</v>
      </c>
      <c r="C434" s="1415">
        <v>2075</v>
      </c>
      <c r="D434" s="1414">
        <v>1384000</v>
      </c>
      <c r="E434" s="1416">
        <v>1383000</v>
      </c>
      <c r="F434" s="1417">
        <v>5034</v>
      </c>
      <c r="G434" s="1414">
        <v>78.571100000000001</v>
      </c>
      <c r="H434" s="1416">
        <v>0.27494000000000002</v>
      </c>
      <c r="I434" s="1416">
        <v>2.3304000000000003E-3</v>
      </c>
      <c r="J434" s="1417">
        <v>87.594300000000004</v>
      </c>
    </row>
    <row r="435" spans="2:10" x14ac:dyDescent="0.25">
      <c r="B435" s="1406" t="s">
        <v>1085</v>
      </c>
      <c r="C435" s="1407">
        <v>2080</v>
      </c>
      <c r="D435" s="1406">
        <v>1092000</v>
      </c>
      <c r="E435" s="1408">
        <v>1092000</v>
      </c>
      <c r="F435" s="1409">
        <v>3971</v>
      </c>
      <c r="G435" s="1406">
        <v>5.7390999999999996</v>
      </c>
      <c r="H435" s="1408">
        <v>0.18462200000000001</v>
      </c>
      <c r="I435" s="1408">
        <v>8.61E-4</v>
      </c>
      <c r="J435" s="1409">
        <v>11.5648</v>
      </c>
    </row>
    <row r="436" spans="2:10" x14ac:dyDescent="0.25">
      <c r="B436" s="1410" t="s">
        <v>283</v>
      </c>
      <c r="C436" s="1411">
        <v>2080</v>
      </c>
      <c r="D436" s="1410">
        <v>1092000</v>
      </c>
      <c r="E436" s="1412">
        <v>1092000</v>
      </c>
      <c r="F436" s="1413">
        <v>3971</v>
      </c>
      <c r="G436" s="1410">
        <v>5.7390999999999996</v>
      </c>
      <c r="H436" s="1412">
        <v>0.18462200000000001</v>
      </c>
      <c r="I436" s="1412">
        <v>8.61E-4</v>
      </c>
      <c r="J436" s="1413">
        <v>11.5648</v>
      </c>
    </row>
    <row r="437" spans="2:10" x14ac:dyDescent="0.25">
      <c r="B437" s="1410" t="s">
        <v>1086</v>
      </c>
      <c r="C437" s="1411">
        <v>2080</v>
      </c>
      <c r="D437" s="1410">
        <v>1092000</v>
      </c>
      <c r="E437" s="1412">
        <v>1092000</v>
      </c>
      <c r="F437" s="1413">
        <v>3971</v>
      </c>
      <c r="G437" s="1410">
        <v>5.7390999999999996</v>
      </c>
      <c r="H437" s="1412">
        <v>0.18462200000000001</v>
      </c>
      <c r="I437" s="1412">
        <v>8.61E-4</v>
      </c>
      <c r="J437" s="1413">
        <v>11.5648</v>
      </c>
    </row>
    <row r="438" spans="2:10" x14ac:dyDescent="0.25">
      <c r="B438" s="1410" t="s">
        <v>681</v>
      </c>
      <c r="C438" s="1411">
        <v>2080</v>
      </c>
      <c r="D438" s="1410">
        <v>1092000</v>
      </c>
      <c r="E438" s="1412">
        <v>1092000</v>
      </c>
      <c r="F438" s="1413">
        <v>3971</v>
      </c>
      <c r="G438" s="1410">
        <v>5.7390999999999996</v>
      </c>
      <c r="H438" s="1412">
        <v>0.18462200000000001</v>
      </c>
      <c r="I438" s="1412">
        <v>8.61E-4</v>
      </c>
      <c r="J438" s="1413">
        <v>11.5648</v>
      </c>
    </row>
    <row r="439" spans="2:10" x14ac:dyDescent="0.25">
      <c r="B439" s="1410" t="s">
        <v>682</v>
      </c>
      <c r="C439" s="1411">
        <v>2080</v>
      </c>
      <c r="D439" s="1410">
        <v>-1185000</v>
      </c>
      <c r="E439" s="1412">
        <v>0</v>
      </c>
      <c r="F439" s="1413">
        <v>0</v>
      </c>
      <c r="G439" s="1410">
        <v>-85.800000000000011</v>
      </c>
      <c r="H439" s="1412">
        <v>0.54700000000000004</v>
      </c>
      <c r="I439" s="1412">
        <v>-1.8286999999999999E-3</v>
      </c>
      <c r="J439" s="1413">
        <v>-70.08</v>
      </c>
    </row>
    <row r="440" spans="2:10" x14ac:dyDescent="0.25">
      <c r="B440" s="1410" t="s">
        <v>683</v>
      </c>
      <c r="C440" s="1411">
        <v>2080</v>
      </c>
      <c r="D440" s="1410">
        <v>1721000</v>
      </c>
      <c r="E440" s="1412">
        <v>1293000</v>
      </c>
      <c r="F440" s="1413">
        <v>15050</v>
      </c>
      <c r="G440" s="1410">
        <v>125.08</v>
      </c>
      <c r="H440" s="1412">
        <v>0.20477100000000001</v>
      </c>
      <c r="I440" s="1412">
        <v>1.7827000000000001E-3</v>
      </c>
      <c r="J440" s="1413">
        <v>129.82</v>
      </c>
    </row>
    <row r="441" spans="2:10" x14ac:dyDescent="0.25">
      <c r="B441" s="1410" t="s">
        <v>698</v>
      </c>
      <c r="C441" s="1411">
        <v>2080</v>
      </c>
      <c r="D441" s="1410">
        <v>1721000</v>
      </c>
      <c r="E441" s="1412">
        <v>1293000</v>
      </c>
      <c r="F441" s="1413">
        <v>15050</v>
      </c>
      <c r="G441" s="1410">
        <v>125.08</v>
      </c>
      <c r="H441" s="1412">
        <v>0.20477100000000001</v>
      </c>
      <c r="I441" s="1412">
        <v>1.7827000000000001E-3</v>
      </c>
      <c r="J441" s="1413">
        <v>129.82</v>
      </c>
    </row>
    <row r="442" spans="2:10" x14ac:dyDescent="0.25">
      <c r="B442" s="1410" t="s">
        <v>684</v>
      </c>
      <c r="C442" s="1411">
        <v>2080</v>
      </c>
      <c r="D442" s="1410">
        <v>1721000</v>
      </c>
      <c r="E442" s="1412">
        <v>1293000</v>
      </c>
      <c r="F442" s="1413">
        <v>15050</v>
      </c>
      <c r="G442" s="1410">
        <v>125.08</v>
      </c>
      <c r="H442" s="1412">
        <v>0.20477100000000001</v>
      </c>
      <c r="I442" s="1412">
        <v>1.7827000000000001E-3</v>
      </c>
      <c r="J442" s="1413">
        <v>129.82</v>
      </c>
    </row>
    <row r="443" spans="2:10" x14ac:dyDescent="0.25">
      <c r="B443" s="1410" t="s">
        <v>1087</v>
      </c>
      <c r="C443" s="1411">
        <v>2080</v>
      </c>
      <c r="D443" s="1410">
        <v>1022000</v>
      </c>
      <c r="E443" s="1412">
        <v>1021000</v>
      </c>
      <c r="F443" s="1413">
        <v>15510</v>
      </c>
      <c r="G443" s="1410">
        <v>1.6964999999999999</v>
      </c>
      <c r="H443" s="1412">
        <v>0.14096238999999999</v>
      </c>
      <c r="I443" s="1412">
        <v>3.2765999999999998E-5</v>
      </c>
      <c r="J443" s="1413">
        <v>5.9536999999999995</v>
      </c>
    </row>
    <row r="444" spans="2:10" x14ac:dyDescent="0.25">
      <c r="B444" s="1410" t="s">
        <v>716</v>
      </c>
      <c r="C444" s="1411">
        <v>2080</v>
      </c>
      <c r="D444" s="1410">
        <v>1022000</v>
      </c>
      <c r="E444" s="1412">
        <v>1021000</v>
      </c>
      <c r="F444" s="1413">
        <v>15510</v>
      </c>
      <c r="G444" s="1410">
        <v>1.6964999999999999</v>
      </c>
      <c r="H444" s="1412">
        <v>0.14096238999999999</v>
      </c>
      <c r="I444" s="1412">
        <v>3.2765999999999998E-5</v>
      </c>
      <c r="J444" s="1413">
        <v>5.9536999999999995</v>
      </c>
    </row>
    <row r="445" spans="2:10" x14ac:dyDescent="0.25">
      <c r="B445" s="1410" t="s">
        <v>717</v>
      </c>
      <c r="C445" s="1411">
        <v>2080</v>
      </c>
      <c r="D445" s="1410">
        <v>1022000</v>
      </c>
      <c r="E445" s="1412">
        <v>1021000</v>
      </c>
      <c r="F445" s="1413">
        <v>15510</v>
      </c>
      <c r="G445" s="1410">
        <v>1.6964999999999999</v>
      </c>
      <c r="H445" s="1412">
        <v>0.14096238999999999</v>
      </c>
      <c r="I445" s="1412">
        <v>3.2765999999999998E-5</v>
      </c>
      <c r="J445" s="1413">
        <v>5.9536999999999995</v>
      </c>
    </row>
    <row r="446" spans="2:10" x14ac:dyDescent="0.25">
      <c r="B446" s="1410" t="s">
        <v>912</v>
      </c>
      <c r="C446" s="1411">
        <v>2080</v>
      </c>
      <c r="D446" s="1410">
        <v>1209000</v>
      </c>
      <c r="E446" s="1412">
        <v>1202000</v>
      </c>
      <c r="F446" s="1413">
        <v>1052000</v>
      </c>
      <c r="G446" s="1410">
        <v>17.969000000000001</v>
      </c>
      <c r="H446" s="1412">
        <v>0.164128</v>
      </c>
      <c r="I446" s="1412">
        <v>2.9025999999999998E-4</v>
      </c>
      <c r="J446" s="1413">
        <v>22.988</v>
      </c>
    </row>
    <row r="447" spans="2:10" x14ac:dyDescent="0.25">
      <c r="B447" s="1410" t="s">
        <v>910</v>
      </c>
      <c r="C447" s="1411">
        <v>2080</v>
      </c>
      <c r="D447" s="1410">
        <v>1585000</v>
      </c>
      <c r="E447" s="1412">
        <v>696300</v>
      </c>
      <c r="F447" s="1413">
        <v>286000</v>
      </c>
      <c r="G447" s="1410">
        <v>38.049999999999997</v>
      </c>
      <c r="H447" s="1412">
        <v>0.1118</v>
      </c>
      <c r="I447" s="1412">
        <v>2.5350000000000001E-2</v>
      </c>
      <c r="J447" s="1413">
        <v>45.19</v>
      </c>
    </row>
    <row r="448" spans="2:10" x14ac:dyDescent="0.25">
      <c r="B448" s="1410" t="s">
        <v>913</v>
      </c>
      <c r="C448" s="1411">
        <v>2080</v>
      </c>
      <c r="D448" s="1410">
        <v>1249000</v>
      </c>
      <c r="E448" s="1412">
        <v>1242000</v>
      </c>
      <c r="F448" s="1413">
        <v>1078000</v>
      </c>
      <c r="G448" s="1410">
        <v>23.84</v>
      </c>
      <c r="H448" s="1412">
        <v>0.16985799999999998</v>
      </c>
      <c r="I448" s="1412">
        <v>3.7813000000000001E-4</v>
      </c>
      <c r="J448" s="1413">
        <v>29.157000000000004</v>
      </c>
    </row>
    <row r="449" spans="2:10" x14ac:dyDescent="0.25">
      <c r="B449" s="1410" t="s">
        <v>1081</v>
      </c>
      <c r="C449" s="1411">
        <v>2080</v>
      </c>
      <c r="D449" s="1410">
        <v>1190000</v>
      </c>
      <c r="E449" s="1412">
        <v>51590</v>
      </c>
      <c r="F449" s="1413">
        <v>29220</v>
      </c>
      <c r="G449" s="1410">
        <v>3.7582</v>
      </c>
      <c r="H449" s="1412">
        <v>8.4366999999999984E-3</v>
      </c>
      <c r="I449" s="1412">
        <v>-3.8261190000000002E-3</v>
      </c>
      <c r="J449" s="1413">
        <v>3.0054000000000003</v>
      </c>
    </row>
    <row r="450" spans="2:10" x14ac:dyDescent="0.25">
      <c r="B450" s="1410" t="s">
        <v>815</v>
      </c>
      <c r="C450" s="1411">
        <v>2080</v>
      </c>
      <c r="D450" s="1410">
        <v>1190000</v>
      </c>
      <c r="E450" s="1412">
        <v>51590</v>
      </c>
      <c r="F450" s="1413">
        <v>29220</v>
      </c>
      <c r="G450" s="1410">
        <v>3.7582</v>
      </c>
      <c r="H450" s="1412">
        <v>8.4366999999999984E-3</v>
      </c>
      <c r="I450" s="1412">
        <v>-3.8261190000000002E-3</v>
      </c>
      <c r="J450" s="1413">
        <v>3.0054000000000003</v>
      </c>
    </row>
    <row r="451" spans="2:10" x14ac:dyDescent="0.25">
      <c r="B451" s="1410" t="s">
        <v>824</v>
      </c>
      <c r="C451" s="1411">
        <v>2080</v>
      </c>
      <c r="D451" s="1410">
        <v>1190000</v>
      </c>
      <c r="E451" s="1412">
        <v>51590</v>
      </c>
      <c r="F451" s="1413">
        <v>29220</v>
      </c>
      <c r="G451" s="1410">
        <v>3.7582</v>
      </c>
      <c r="H451" s="1412">
        <v>8.4366999999999984E-3</v>
      </c>
      <c r="I451" s="1412">
        <v>-3.8261190000000002E-3</v>
      </c>
      <c r="J451" s="1413">
        <v>3.0054000000000003</v>
      </c>
    </row>
    <row r="452" spans="2:10" ht="13" thickBot="1" x14ac:dyDescent="0.3">
      <c r="B452" s="1414" t="s">
        <v>1088</v>
      </c>
      <c r="C452" s="1415">
        <v>2080</v>
      </c>
      <c r="D452" s="1414">
        <v>1384000</v>
      </c>
      <c r="E452" s="1416">
        <v>1383000</v>
      </c>
      <c r="F452" s="1417">
        <v>5034</v>
      </c>
      <c r="G452" s="1414">
        <v>78.571100000000001</v>
      </c>
      <c r="H452" s="1416">
        <v>0.27494000000000002</v>
      </c>
      <c r="I452" s="1416">
        <v>2.3304000000000003E-3</v>
      </c>
      <c r="J452" s="1417">
        <v>87.594300000000004</v>
      </c>
    </row>
    <row r="453" spans="2:10" x14ac:dyDescent="0.25">
      <c r="B453" s="1406" t="s">
        <v>1085</v>
      </c>
      <c r="C453" s="1407">
        <v>2085</v>
      </c>
      <c r="D453" s="1406">
        <v>1092000</v>
      </c>
      <c r="E453" s="1408">
        <v>1092000</v>
      </c>
      <c r="F453" s="1409">
        <v>3971</v>
      </c>
      <c r="G453" s="1406">
        <v>5.7390999999999996</v>
      </c>
      <c r="H453" s="1408">
        <v>0.18462200000000001</v>
      </c>
      <c r="I453" s="1408">
        <v>8.61E-4</v>
      </c>
      <c r="J453" s="1409">
        <v>11.5648</v>
      </c>
    </row>
    <row r="454" spans="2:10" x14ac:dyDescent="0.25">
      <c r="B454" s="1410" t="s">
        <v>283</v>
      </c>
      <c r="C454" s="1411">
        <v>2085</v>
      </c>
      <c r="D454" s="1410">
        <v>1092000</v>
      </c>
      <c r="E454" s="1412">
        <v>1092000</v>
      </c>
      <c r="F454" s="1413">
        <v>3971</v>
      </c>
      <c r="G454" s="1410">
        <v>5.7390999999999996</v>
      </c>
      <c r="H454" s="1412">
        <v>0.18462200000000001</v>
      </c>
      <c r="I454" s="1412">
        <v>8.61E-4</v>
      </c>
      <c r="J454" s="1413">
        <v>11.5648</v>
      </c>
    </row>
    <row r="455" spans="2:10" x14ac:dyDescent="0.25">
      <c r="B455" s="1410" t="s">
        <v>1086</v>
      </c>
      <c r="C455" s="1411">
        <v>2085</v>
      </c>
      <c r="D455" s="1410">
        <v>1092000</v>
      </c>
      <c r="E455" s="1412">
        <v>1092000</v>
      </c>
      <c r="F455" s="1413">
        <v>3971</v>
      </c>
      <c r="G455" s="1410">
        <v>5.7390999999999996</v>
      </c>
      <c r="H455" s="1412">
        <v>0.18462200000000001</v>
      </c>
      <c r="I455" s="1412">
        <v>8.61E-4</v>
      </c>
      <c r="J455" s="1413">
        <v>11.5648</v>
      </c>
    </row>
    <row r="456" spans="2:10" x14ac:dyDescent="0.25">
      <c r="B456" s="1410" t="s">
        <v>681</v>
      </c>
      <c r="C456" s="1411">
        <v>2085</v>
      </c>
      <c r="D456" s="1410">
        <v>1092000</v>
      </c>
      <c r="E456" s="1412">
        <v>1092000</v>
      </c>
      <c r="F456" s="1413">
        <v>3971</v>
      </c>
      <c r="G456" s="1410">
        <v>5.7390999999999996</v>
      </c>
      <c r="H456" s="1412">
        <v>0.18462200000000001</v>
      </c>
      <c r="I456" s="1412">
        <v>8.61E-4</v>
      </c>
      <c r="J456" s="1413">
        <v>11.5648</v>
      </c>
    </row>
    <row r="457" spans="2:10" x14ac:dyDescent="0.25">
      <c r="B457" s="1410" t="s">
        <v>682</v>
      </c>
      <c r="C457" s="1411">
        <v>2085</v>
      </c>
      <c r="D457" s="1410">
        <v>-1185000</v>
      </c>
      <c r="E457" s="1412">
        <v>0</v>
      </c>
      <c r="F457" s="1413">
        <v>0</v>
      </c>
      <c r="G457" s="1410">
        <v>-85.800000000000011</v>
      </c>
      <c r="H457" s="1412">
        <v>0.54700000000000004</v>
      </c>
      <c r="I457" s="1412">
        <v>-1.8286999999999999E-3</v>
      </c>
      <c r="J457" s="1413">
        <v>-70.08</v>
      </c>
    </row>
    <row r="458" spans="2:10" x14ac:dyDescent="0.25">
      <c r="B458" s="1410" t="s">
        <v>683</v>
      </c>
      <c r="C458" s="1411">
        <v>2085</v>
      </c>
      <c r="D458" s="1410">
        <v>1721000</v>
      </c>
      <c r="E458" s="1412">
        <v>1293000</v>
      </c>
      <c r="F458" s="1413">
        <v>15050</v>
      </c>
      <c r="G458" s="1410">
        <v>125.08</v>
      </c>
      <c r="H458" s="1412">
        <v>0.20477100000000001</v>
      </c>
      <c r="I458" s="1412">
        <v>1.7827000000000001E-3</v>
      </c>
      <c r="J458" s="1413">
        <v>129.82</v>
      </c>
    </row>
    <row r="459" spans="2:10" x14ac:dyDescent="0.25">
      <c r="B459" s="1410" t="s">
        <v>698</v>
      </c>
      <c r="C459" s="1411">
        <v>2085</v>
      </c>
      <c r="D459" s="1410">
        <v>1721000</v>
      </c>
      <c r="E459" s="1412">
        <v>1293000</v>
      </c>
      <c r="F459" s="1413">
        <v>15050</v>
      </c>
      <c r="G459" s="1410">
        <v>125.08</v>
      </c>
      <c r="H459" s="1412">
        <v>0.20477100000000001</v>
      </c>
      <c r="I459" s="1412">
        <v>1.7827000000000001E-3</v>
      </c>
      <c r="J459" s="1413">
        <v>129.82</v>
      </c>
    </row>
    <row r="460" spans="2:10" x14ac:dyDescent="0.25">
      <c r="B460" s="1410" t="s">
        <v>684</v>
      </c>
      <c r="C460" s="1411">
        <v>2085</v>
      </c>
      <c r="D460" s="1410">
        <v>1721000</v>
      </c>
      <c r="E460" s="1412">
        <v>1293000</v>
      </c>
      <c r="F460" s="1413">
        <v>15050</v>
      </c>
      <c r="G460" s="1410">
        <v>125.08</v>
      </c>
      <c r="H460" s="1412">
        <v>0.20477100000000001</v>
      </c>
      <c r="I460" s="1412">
        <v>1.7827000000000001E-3</v>
      </c>
      <c r="J460" s="1413">
        <v>129.82</v>
      </c>
    </row>
    <row r="461" spans="2:10" x14ac:dyDescent="0.25">
      <c r="B461" s="1410" t="s">
        <v>1087</v>
      </c>
      <c r="C461" s="1411">
        <v>2085</v>
      </c>
      <c r="D461" s="1410">
        <v>1022000</v>
      </c>
      <c r="E461" s="1412">
        <v>1021000</v>
      </c>
      <c r="F461" s="1413">
        <v>15510</v>
      </c>
      <c r="G461" s="1410">
        <v>1.6964999999999999</v>
      </c>
      <c r="H461" s="1412">
        <v>0.14096238999999999</v>
      </c>
      <c r="I461" s="1412">
        <v>3.2765999999999998E-5</v>
      </c>
      <c r="J461" s="1413">
        <v>5.9536999999999995</v>
      </c>
    </row>
    <row r="462" spans="2:10" x14ac:dyDescent="0.25">
      <c r="B462" s="1410" t="s">
        <v>716</v>
      </c>
      <c r="C462" s="1411">
        <v>2085</v>
      </c>
      <c r="D462" s="1410">
        <v>1022000</v>
      </c>
      <c r="E462" s="1412">
        <v>1021000</v>
      </c>
      <c r="F462" s="1413">
        <v>15510</v>
      </c>
      <c r="G462" s="1410">
        <v>1.6964999999999999</v>
      </c>
      <c r="H462" s="1412">
        <v>0.14096238999999999</v>
      </c>
      <c r="I462" s="1412">
        <v>3.2765999999999998E-5</v>
      </c>
      <c r="J462" s="1413">
        <v>5.9536999999999995</v>
      </c>
    </row>
    <row r="463" spans="2:10" x14ac:dyDescent="0.25">
      <c r="B463" s="1410" t="s">
        <v>717</v>
      </c>
      <c r="C463" s="1411">
        <v>2085</v>
      </c>
      <c r="D463" s="1410">
        <v>1022000</v>
      </c>
      <c r="E463" s="1412">
        <v>1021000</v>
      </c>
      <c r="F463" s="1413">
        <v>15510</v>
      </c>
      <c r="G463" s="1410">
        <v>1.6964999999999999</v>
      </c>
      <c r="H463" s="1412">
        <v>0.14096238999999999</v>
      </c>
      <c r="I463" s="1412">
        <v>3.2765999999999998E-5</v>
      </c>
      <c r="J463" s="1413">
        <v>5.9536999999999995</v>
      </c>
    </row>
    <row r="464" spans="2:10" x14ac:dyDescent="0.25">
      <c r="B464" s="1410" t="s">
        <v>912</v>
      </c>
      <c r="C464" s="1411">
        <v>2085</v>
      </c>
      <c r="D464" s="1410">
        <v>1209000</v>
      </c>
      <c r="E464" s="1412">
        <v>1202000</v>
      </c>
      <c r="F464" s="1413">
        <v>1052000</v>
      </c>
      <c r="G464" s="1410">
        <v>17.969000000000001</v>
      </c>
      <c r="H464" s="1412">
        <v>0.164128</v>
      </c>
      <c r="I464" s="1412">
        <v>2.9025999999999998E-4</v>
      </c>
      <c r="J464" s="1413">
        <v>22.988</v>
      </c>
    </row>
    <row r="465" spans="2:10" x14ac:dyDescent="0.25">
      <c r="B465" s="1410" t="s">
        <v>910</v>
      </c>
      <c r="C465" s="1411">
        <v>2085</v>
      </c>
      <c r="D465" s="1410">
        <v>1585000</v>
      </c>
      <c r="E465" s="1412">
        <v>696300</v>
      </c>
      <c r="F465" s="1413">
        <v>286000</v>
      </c>
      <c r="G465" s="1410">
        <v>38.049999999999997</v>
      </c>
      <c r="H465" s="1412">
        <v>0.1118</v>
      </c>
      <c r="I465" s="1412">
        <v>2.5350000000000001E-2</v>
      </c>
      <c r="J465" s="1413">
        <v>45.19</v>
      </c>
    </row>
    <row r="466" spans="2:10" x14ac:dyDescent="0.25">
      <c r="B466" s="1410" t="s">
        <v>913</v>
      </c>
      <c r="C466" s="1411">
        <v>2085</v>
      </c>
      <c r="D466" s="1410">
        <v>1249000</v>
      </c>
      <c r="E466" s="1412">
        <v>1242000</v>
      </c>
      <c r="F466" s="1413">
        <v>1078000</v>
      </c>
      <c r="G466" s="1410">
        <v>23.84</v>
      </c>
      <c r="H466" s="1412">
        <v>0.16985799999999998</v>
      </c>
      <c r="I466" s="1412">
        <v>3.7813000000000001E-4</v>
      </c>
      <c r="J466" s="1413">
        <v>29.157000000000004</v>
      </c>
    </row>
    <row r="467" spans="2:10" x14ac:dyDescent="0.25">
      <c r="B467" s="1410" t="s">
        <v>1081</v>
      </c>
      <c r="C467" s="1411">
        <v>2085</v>
      </c>
      <c r="D467" s="1410">
        <v>1190000</v>
      </c>
      <c r="E467" s="1412">
        <v>51590</v>
      </c>
      <c r="F467" s="1413">
        <v>29220</v>
      </c>
      <c r="G467" s="1410">
        <v>3.7582</v>
      </c>
      <c r="H467" s="1412">
        <v>8.4366999999999984E-3</v>
      </c>
      <c r="I467" s="1412">
        <v>-3.8261190000000002E-3</v>
      </c>
      <c r="J467" s="1413">
        <v>3.0054000000000003</v>
      </c>
    </row>
    <row r="468" spans="2:10" x14ac:dyDescent="0.25">
      <c r="B468" s="1410" t="s">
        <v>815</v>
      </c>
      <c r="C468" s="1411">
        <v>2085</v>
      </c>
      <c r="D468" s="1410">
        <v>1190000</v>
      </c>
      <c r="E468" s="1412">
        <v>51590</v>
      </c>
      <c r="F468" s="1413">
        <v>29220</v>
      </c>
      <c r="G468" s="1410">
        <v>3.7582</v>
      </c>
      <c r="H468" s="1412">
        <v>8.4366999999999984E-3</v>
      </c>
      <c r="I468" s="1412">
        <v>-3.8261190000000002E-3</v>
      </c>
      <c r="J468" s="1413">
        <v>3.0054000000000003</v>
      </c>
    </row>
    <row r="469" spans="2:10" x14ac:dyDescent="0.25">
      <c r="B469" s="1410" t="s">
        <v>824</v>
      </c>
      <c r="C469" s="1411">
        <v>2085</v>
      </c>
      <c r="D469" s="1410">
        <v>1190000</v>
      </c>
      <c r="E469" s="1412">
        <v>51590</v>
      </c>
      <c r="F469" s="1413">
        <v>29220</v>
      </c>
      <c r="G469" s="1410">
        <v>3.7582</v>
      </c>
      <c r="H469" s="1412">
        <v>8.4366999999999984E-3</v>
      </c>
      <c r="I469" s="1412">
        <v>-3.8261190000000002E-3</v>
      </c>
      <c r="J469" s="1413">
        <v>3.0054000000000003</v>
      </c>
    </row>
    <row r="470" spans="2:10" ht="13" thickBot="1" x14ac:dyDescent="0.3">
      <c r="B470" s="1414" t="s">
        <v>1088</v>
      </c>
      <c r="C470" s="1415">
        <v>2085</v>
      </c>
      <c r="D470" s="1414">
        <v>1384000</v>
      </c>
      <c r="E470" s="1416">
        <v>1383000</v>
      </c>
      <c r="F470" s="1417">
        <v>5034</v>
      </c>
      <c r="G470" s="1414">
        <v>78.571100000000001</v>
      </c>
      <c r="H470" s="1416">
        <v>0.27494000000000002</v>
      </c>
      <c r="I470" s="1416">
        <v>2.3304000000000003E-3</v>
      </c>
      <c r="J470" s="1417">
        <v>87.594300000000004</v>
      </c>
    </row>
    <row r="471" spans="2:10" x14ac:dyDescent="0.25">
      <c r="B471" s="1406" t="s">
        <v>1085</v>
      </c>
      <c r="C471" s="1407">
        <v>2090</v>
      </c>
      <c r="D471" s="1406">
        <v>1092000</v>
      </c>
      <c r="E471" s="1408">
        <v>1092000</v>
      </c>
      <c r="F471" s="1409">
        <v>3971</v>
      </c>
      <c r="G471" s="1406">
        <v>5.7390999999999996</v>
      </c>
      <c r="H471" s="1408">
        <v>0.18462200000000001</v>
      </c>
      <c r="I471" s="1408">
        <v>8.61E-4</v>
      </c>
      <c r="J471" s="1409">
        <v>11.5648</v>
      </c>
    </row>
    <row r="472" spans="2:10" x14ac:dyDescent="0.25">
      <c r="B472" s="1410" t="s">
        <v>283</v>
      </c>
      <c r="C472" s="1411">
        <v>2090</v>
      </c>
      <c r="D472" s="1410">
        <v>1092000</v>
      </c>
      <c r="E472" s="1412">
        <v>1092000</v>
      </c>
      <c r="F472" s="1413">
        <v>3971</v>
      </c>
      <c r="G472" s="1410">
        <v>5.7390999999999996</v>
      </c>
      <c r="H472" s="1412">
        <v>0.18462200000000001</v>
      </c>
      <c r="I472" s="1412">
        <v>8.61E-4</v>
      </c>
      <c r="J472" s="1413">
        <v>11.5648</v>
      </c>
    </row>
    <row r="473" spans="2:10" x14ac:dyDescent="0.25">
      <c r="B473" s="1410" t="s">
        <v>1086</v>
      </c>
      <c r="C473" s="1411">
        <v>2090</v>
      </c>
      <c r="D473" s="1410">
        <v>1092000</v>
      </c>
      <c r="E473" s="1412">
        <v>1092000</v>
      </c>
      <c r="F473" s="1413">
        <v>3971</v>
      </c>
      <c r="G473" s="1410">
        <v>5.7390999999999996</v>
      </c>
      <c r="H473" s="1412">
        <v>0.18462200000000001</v>
      </c>
      <c r="I473" s="1412">
        <v>8.61E-4</v>
      </c>
      <c r="J473" s="1413">
        <v>11.5648</v>
      </c>
    </row>
    <row r="474" spans="2:10" x14ac:dyDescent="0.25">
      <c r="B474" s="1410" t="s">
        <v>681</v>
      </c>
      <c r="C474" s="1411">
        <v>2090</v>
      </c>
      <c r="D474" s="1410">
        <v>1092000</v>
      </c>
      <c r="E474" s="1412">
        <v>1092000</v>
      </c>
      <c r="F474" s="1413">
        <v>3971</v>
      </c>
      <c r="G474" s="1410">
        <v>5.7390999999999996</v>
      </c>
      <c r="H474" s="1412">
        <v>0.18462200000000001</v>
      </c>
      <c r="I474" s="1412">
        <v>8.61E-4</v>
      </c>
      <c r="J474" s="1413">
        <v>11.5648</v>
      </c>
    </row>
    <row r="475" spans="2:10" x14ac:dyDescent="0.25">
      <c r="B475" s="1410" t="s">
        <v>682</v>
      </c>
      <c r="C475" s="1411">
        <v>2090</v>
      </c>
      <c r="D475" s="1410">
        <v>-1185000</v>
      </c>
      <c r="E475" s="1412">
        <v>0</v>
      </c>
      <c r="F475" s="1413">
        <v>0</v>
      </c>
      <c r="G475" s="1410">
        <v>-85.800000000000011</v>
      </c>
      <c r="H475" s="1412">
        <v>0.54700000000000004</v>
      </c>
      <c r="I475" s="1412">
        <v>-1.8286999999999999E-3</v>
      </c>
      <c r="J475" s="1413">
        <v>-70.08</v>
      </c>
    </row>
    <row r="476" spans="2:10" x14ac:dyDescent="0.25">
      <c r="B476" s="1410" t="s">
        <v>683</v>
      </c>
      <c r="C476" s="1411">
        <v>2090</v>
      </c>
      <c r="D476" s="1410">
        <v>1721000</v>
      </c>
      <c r="E476" s="1412">
        <v>1293000</v>
      </c>
      <c r="F476" s="1413">
        <v>15050</v>
      </c>
      <c r="G476" s="1410">
        <v>125.08</v>
      </c>
      <c r="H476" s="1412">
        <v>0.20477100000000001</v>
      </c>
      <c r="I476" s="1412">
        <v>1.7827000000000001E-3</v>
      </c>
      <c r="J476" s="1413">
        <v>129.82</v>
      </c>
    </row>
    <row r="477" spans="2:10" x14ac:dyDescent="0.25">
      <c r="B477" s="1410" t="s">
        <v>698</v>
      </c>
      <c r="C477" s="1411">
        <v>2090</v>
      </c>
      <c r="D477" s="1410">
        <v>1721000</v>
      </c>
      <c r="E477" s="1412">
        <v>1293000</v>
      </c>
      <c r="F477" s="1413">
        <v>15050</v>
      </c>
      <c r="G477" s="1410">
        <v>125.08</v>
      </c>
      <c r="H477" s="1412">
        <v>0.20477100000000001</v>
      </c>
      <c r="I477" s="1412">
        <v>1.7827000000000001E-3</v>
      </c>
      <c r="J477" s="1413">
        <v>129.82</v>
      </c>
    </row>
    <row r="478" spans="2:10" x14ac:dyDescent="0.25">
      <c r="B478" s="1410" t="s">
        <v>684</v>
      </c>
      <c r="C478" s="1411">
        <v>2090</v>
      </c>
      <c r="D478" s="1410">
        <v>1721000</v>
      </c>
      <c r="E478" s="1412">
        <v>1293000</v>
      </c>
      <c r="F478" s="1413">
        <v>15050</v>
      </c>
      <c r="G478" s="1410">
        <v>125.08</v>
      </c>
      <c r="H478" s="1412">
        <v>0.20477100000000001</v>
      </c>
      <c r="I478" s="1412">
        <v>1.7827000000000001E-3</v>
      </c>
      <c r="J478" s="1413">
        <v>129.82</v>
      </c>
    </row>
    <row r="479" spans="2:10" x14ac:dyDescent="0.25">
      <c r="B479" s="1410" t="s">
        <v>1087</v>
      </c>
      <c r="C479" s="1411">
        <v>2090</v>
      </c>
      <c r="D479" s="1410">
        <v>1022000</v>
      </c>
      <c r="E479" s="1412">
        <v>1021000</v>
      </c>
      <c r="F479" s="1413">
        <v>15510</v>
      </c>
      <c r="G479" s="1410">
        <v>1.6964999999999999</v>
      </c>
      <c r="H479" s="1412">
        <v>0.14096238999999999</v>
      </c>
      <c r="I479" s="1412">
        <v>3.2765999999999998E-5</v>
      </c>
      <c r="J479" s="1413">
        <v>5.9536999999999995</v>
      </c>
    </row>
    <row r="480" spans="2:10" x14ac:dyDescent="0.25">
      <c r="B480" s="1410" t="s">
        <v>716</v>
      </c>
      <c r="C480" s="1411">
        <v>2090</v>
      </c>
      <c r="D480" s="1410">
        <v>1022000</v>
      </c>
      <c r="E480" s="1412">
        <v>1021000</v>
      </c>
      <c r="F480" s="1413">
        <v>15510</v>
      </c>
      <c r="G480" s="1410">
        <v>1.6964999999999999</v>
      </c>
      <c r="H480" s="1412">
        <v>0.14096238999999999</v>
      </c>
      <c r="I480" s="1412">
        <v>3.2765999999999998E-5</v>
      </c>
      <c r="J480" s="1413">
        <v>5.9536999999999995</v>
      </c>
    </row>
    <row r="481" spans="2:10" x14ac:dyDescent="0.25">
      <c r="B481" s="1410" t="s">
        <v>717</v>
      </c>
      <c r="C481" s="1411">
        <v>2090</v>
      </c>
      <c r="D481" s="1410">
        <v>1022000</v>
      </c>
      <c r="E481" s="1412">
        <v>1021000</v>
      </c>
      <c r="F481" s="1413">
        <v>15510</v>
      </c>
      <c r="G481" s="1410">
        <v>1.6964999999999999</v>
      </c>
      <c r="H481" s="1412">
        <v>0.14096238999999999</v>
      </c>
      <c r="I481" s="1412">
        <v>3.2765999999999998E-5</v>
      </c>
      <c r="J481" s="1413">
        <v>5.9536999999999995</v>
      </c>
    </row>
    <row r="482" spans="2:10" x14ac:dyDescent="0.25">
      <c r="B482" s="1410" t="s">
        <v>912</v>
      </c>
      <c r="C482" s="1411">
        <v>2090</v>
      </c>
      <c r="D482" s="1410">
        <v>1209000</v>
      </c>
      <c r="E482" s="1412">
        <v>1202000</v>
      </c>
      <c r="F482" s="1413">
        <v>1052000</v>
      </c>
      <c r="G482" s="1410">
        <v>17.969000000000001</v>
      </c>
      <c r="H482" s="1412">
        <v>0.164128</v>
      </c>
      <c r="I482" s="1412">
        <v>2.9025999999999998E-4</v>
      </c>
      <c r="J482" s="1413">
        <v>22.988</v>
      </c>
    </row>
    <row r="483" spans="2:10" x14ac:dyDescent="0.25">
      <c r="B483" s="1410" t="s">
        <v>910</v>
      </c>
      <c r="C483" s="1411">
        <v>2090</v>
      </c>
      <c r="D483" s="1410">
        <v>1585000</v>
      </c>
      <c r="E483" s="1412">
        <v>696300</v>
      </c>
      <c r="F483" s="1413">
        <v>286000</v>
      </c>
      <c r="G483" s="1410">
        <v>38.049999999999997</v>
      </c>
      <c r="H483" s="1412">
        <v>0.1118</v>
      </c>
      <c r="I483" s="1412">
        <v>2.5350000000000001E-2</v>
      </c>
      <c r="J483" s="1413">
        <v>45.19</v>
      </c>
    </row>
    <row r="484" spans="2:10" x14ac:dyDescent="0.25">
      <c r="B484" s="1410" t="s">
        <v>913</v>
      </c>
      <c r="C484" s="1411">
        <v>2090</v>
      </c>
      <c r="D484" s="1410">
        <v>1249000</v>
      </c>
      <c r="E484" s="1412">
        <v>1242000</v>
      </c>
      <c r="F484" s="1413">
        <v>1078000</v>
      </c>
      <c r="G484" s="1410">
        <v>23.84</v>
      </c>
      <c r="H484" s="1412">
        <v>0.16985799999999998</v>
      </c>
      <c r="I484" s="1412">
        <v>3.7813000000000001E-4</v>
      </c>
      <c r="J484" s="1413">
        <v>29.157000000000004</v>
      </c>
    </row>
    <row r="485" spans="2:10" x14ac:dyDescent="0.25">
      <c r="B485" s="1410" t="s">
        <v>1081</v>
      </c>
      <c r="C485" s="1411">
        <v>2090</v>
      </c>
      <c r="D485" s="1410">
        <v>1190000</v>
      </c>
      <c r="E485" s="1412">
        <v>51590</v>
      </c>
      <c r="F485" s="1413">
        <v>29220</v>
      </c>
      <c r="G485" s="1410">
        <v>3.7582</v>
      </c>
      <c r="H485" s="1412">
        <v>8.4366999999999984E-3</v>
      </c>
      <c r="I485" s="1412">
        <v>-3.8261190000000002E-3</v>
      </c>
      <c r="J485" s="1413">
        <v>3.0054000000000003</v>
      </c>
    </row>
    <row r="486" spans="2:10" x14ac:dyDescent="0.25">
      <c r="B486" s="1410" t="s">
        <v>815</v>
      </c>
      <c r="C486" s="1411">
        <v>2090</v>
      </c>
      <c r="D486" s="1410">
        <v>1190000</v>
      </c>
      <c r="E486" s="1412">
        <v>51590</v>
      </c>
      <c r="F486" s="1413">
        <v>29220</v>
      </c>
      <c r="G486" s="1410">
        <v>3.7582</v>
      </c>
      <c r="H486" s="1412">
        <v>8.4366999999999984E-3</v>
      </c>
      <c r="I486" s="1412">
        <v>-3.8261190000000002E-3</v>
      </c>
      <c r="J486" s="1413">
        <v>3.0054000000000003</v>
      </c>
    </row>
    <row r="487" spans="2:10" x14ac:dyDescent="0.25">
      <c r="B487" s="1410" t="s">
        <v>824</v>
      </c>
      <c r="C487" s="1411">
        <v>2090</v>
      </c>
      <c r="D487" s="1410">
        <v>1190000</v>
      </c>
      <c r="E487" s="1412">
        <v>51590</v>
      </c>
      <c r="F487" s="1413">
        <v>29220</v>
      </c>
      <c r="G487" s="1410">
        <v>3.7582</v>
      </c>
      <c r="H487" s="1412">
        <v>8.4366999999999984E-3</v>
      </c>
      <c r="I487" s="1412">
        <v>-3.8261190000000002E-3</v>
      </c>
      <c r="J487" s="1413">
        <v>3.0054000000000003</v>
      </c>
    </row>
    <row r="488" spans="2:10" ht="13" thickBot="1" x14ac:dyDescent="0.3">
      <c r="B488" s="1414" t="s">
        <v>1088</v>
      </c>
      <c r="C488" s="1415">
        <v>2090</v>
      </c>
      <c r="D488" s="1414">
        <v>1384000</v>
      </c>
      <c r="E488" s="1416">
        <v>1383000</v>
      </c>
      <c r="F488" s="1417">
        <v>5034</v>
      </c>
      <c r="G488" s="1414">
        <v>78.571100000000001</v>
      </c>
      <c r="H488" s="1416">
        <v>0.27494000000000002</v>
      </c>
      <c r="I488" s="1416">
        <v>2.3304000000000003E-3</v>
      </c>
      <c r="J488" s="1417">
        <v>87.594300000000004</v>
      </c>
    </row>
    <row r="489" spans="2:10" x14ac:dyDescent="0.25">
      <c r="B489" s="1406" t="s">
        <v>1085</v>
      </c>
      <c r="C489" s="1407">
        <v>2095</v>
      </c>
      <c r="D489" s="1406">
        <v>1092000</v>
      </c>
      <c r="E489" s="1408">
        <v>1092000</v>
      </c>
      <c r="F489" s="1409">
        <v>3971</v>
      </c>
      <c r="G489" s="1406">
        <v>5.7390999999999996</v>
      </c>
      <c r="H489" s="1408">
        <v>0.18462200000000001</v>
      </c>
      <c r="I489" s="1408">
        <v>8.61E-4</v>
      </c>
      <c r="J489" s="1409">
        <v>11.5648</v>
      </c>
    </row>
    <row r="490" spans="2:10" x14ac:dyDescent="0.25">
      <c r="B490" s="1410" t="s">
        <v>283</v>
      </c>
      <c r="C490" s="1411">
        <v>2095</v>
      </c>
      <c r="D490" s="1410">
        <v>1092000</v>
      </c>
      <c r="E490" s="1412">
        <v>1092000</v>
      </c>
      <c r="F490" s="1413">
        <v>3971</v>
      </c>
      <c r="G490" s="1410">
        <v>5.7390999999999996</v>
      </c>
      <c r="H490" s="1412">
        <v>0.18462200000000001</v>
      </c>
      <c r="I490" s="1412">
        <v>8.61E-4</v>
      </c>
      <c r="J490" s="1413">
        <v>11.5648</v>
      </c>
    </row>
    <row r="491" spans="2:10" x14ac:dyDescent="0.25">
      <c r="B491" s="1410" t="s">
        <v>1086</v>
      </c>
      <c r="C491" s="1411">
        <v>2095</v>
      </c>
      <c r="D491" s="1410">
        <v>1092000</v>
      </c>
      <c r="E491" s="1412">
        <v>1092000</v>
      </c>
      <c r="F491" s="1413">
        <v>3971</v>
      </c>
      <c r="G491" s="1410">
        <v>5.7390999999999996</v>
      </c>
      <c r="H491" s="1412">
        <v>0.18462200000000001</v>
      </c>
      <c r="I491" s="1412">
        <v>8.61E-4</v>
      </c>
      <c r="J491" s="1413">
        <v>11.5648</v>
      </c>
    </row>
    <row r="492" spans="2:10" x14ac:dyDescent="0.25">
      <c r="B492" s="1410" t="s">
        <v>681</v>
      </c>
      <c r="C492" s="1411">
        <v>2095</v>
      </c>
      <c r="D492" s="1410">
        <v>1092000</v>
      </c>
      <c r="E492" s="1412">
        <v>1092000</v>
      </c>
      <c r="F492" s="1413">
        <v>3971</v>
      </c>
      <c r="G492" s="1410">
        <v>5.7390999999999996</v>
      </c>
      <c r="H492" s="1412">
        <v>0.18462200000000001</v>
      </c>
      <c r="I492" s="1412">
        <v>8.61E-4</v>
      </c>
      <c r="J492" s="1413">
        <v>11.5648</v>
      </c>
    </row>
    <row r="493" spans="2:10" x14ac:dyDescent="0.25">
      <c r="B493" s="1410" t="s">
        <v>682</v>
      </c>
      <c r="C493" s="1411">
        <v>2095</v>
      </c>
      <c r="D493" s="1410">
        <v>-1185000</v>
      </c>
      <c r="E493" s="1412">
        <v>0</v>
      </c>
      <c r="F493" s="1413">
        <v>0</v>
      </c>
      <c r="G493" s="1410">
        <v>-85.800000000000011</v>
      </c>
      <c r="H493" s="1412">
        <v>0.54700000000000004</v>
      </c>
      <c r="I493" s="1412">
        <v>-1.8286999999999999E-3</v>
      </c>
      <c r="J493" s="1413">
        <v>-70.08</v>
      </c>
    </row>
    <row r="494" spans="2:10" x14ac:dyDescent="0.25">
      <c r="B494" s="1410" t="s">
        <v>683</v>
      </c>
      <c r="C494" s="1411">
        <v>2095</v>
      </c>
      <c r="D494" s="1410">
        <v>1721000</v>
      </c>
      <c r="E494" s="1412">
        <v>1293000</v>
      </c>
      <c r="F494" s="1413">
        <v>15050</v>
      </c>
      <c r="G494" s="1410">
        <v>125.08</v>
      </c>
      <c r="H494" s="1412">
        <v>0.20477100000000001</v>
      </c>
      <c r="I494" s="1412">
        <v>1.7827000000000001E-3</v>
      </c>
      <c r="J494" s="1413">
        <v>129.82</v>
      </c>
    </row>
    <row r="495" spans="2:10" x14ac:dyDescent="0.25">
      <c r="B495" s="1410" t="s">
        <v>698</v>
      </c>
      <c r="C495" s="1411">
        <v>2095</v>
      </c>
      <c r="D495" s="1410">
        <v>1721000</v>
      </c>
      <c r="E495" s="1412">
        <v>1293000</v>
      </c>
      <c r="F495" s="1413">
        <v>15050</v>
      </c>
      <c r="G495" s="1410">
        <v>125.08</v>
      </c>
      <c r="H495" s="1412">
        <v>0.20477100000000001</v>
      </c>
      <c r="I495" s="1412">
        <v>1.7827000000000001E-3</v>
      </c>
      <c r="J495" s="1413">
        <v>129.82</v>
      </c>
    </row>
    <row r="496" spans="2:10" x14ac:dyDescent="0.25">
      <c r="B496" s="1410" t="s">
        <v>684</v>
      </c>
      <c r="C496" s="1411">
        <v>2095</v>
      </c>
      <c r="D496" s="1410">
        <v>1721000</v>
      </c>
      <c r="E496" s="1412">
        <v>1293000</v>
      </c>
      <c r="F496" s="1413">
        <v>15050</v>
      </c>
      <c r="G496" s="1410">
        <v>125.08</v>
      </c>
      <c r="H496" s="1412">
        <v>0.20477100000000001</v>
      </c>
      <c r="I496" s="1412">
        <v>1.7827000000000001E-3</v>
      </c>
      <c r="J496" s="1413">
        <v>129.82</v>
      </c>
    </row>
    <row r="497" spans="2:10" x14ac:dyDescent="0.25">
      <c r="B497" s="1410" t="s">
        <v>1087</v>
      </c>
      <c r="C497" s="1411">
        <v>2095</v>
      </c>
      <c r="D497" s="1410">
        <v>1022000</v>
      </c>
      <c r="E497" s="1412">
        <v>1021000</v>
      </c>
      <c r="F497" s="1413">
        <v>15510</v>
      </c>
      <c r="G497" s="1410">
        <v>1.6964999999999999</v>
      </c>
      <c r="H497" s="1412">
        <v>0.14096238999999999</v>
      </c>
      <c r="I497" s="1412">
        <v>3.2765999999999998E-5</v>
      </c>
      <c r="J497" s="1413">
        <v>5.9536999999999995</v>
      </c>
    </row>
    <row r="498" spans="2:10" x14ac:dyDescent="0.25">
      <c r="B498" s="1410" t="s">
        <v>716</v>
      </c>
      <c r="C498" s="1411">
        <v>2095</v>
      </c>
      <c r="D498" s="1410">
        <v>1022000</v>
      </c>
      <c r="E498" s="1412">
        <v>1021000</v>
      </c>
      <c r="F498" s="1413">
        <v>15510</v>
      </c>
      <c r="G498" s="1410">
        <v>1.6964999999999999</v>
      </c>
      <c r="H498" s="1412">
        <v>0.14096238999999999</v>
      </c>
      <c r="I498" s="1412">
        <v>3.2765999999999998E-5</v>
      </c>
      <c r="J498" s="1413">
        <v>5.9536999999999995</v>
      </c>
    </row>
    <row r="499" spans="2:10" x14ac:dyDescent="0.25">
      <c r="B499" s="1410" t="s">
        <v>717</v>
      </c>
      <c r="C499" s="1411">
        <v>2095</v>
      </c>
      <c r="D499" s="1410">
        <v>1022000</v>
      </c>
      <c r="E499" s="1412">
        <v>1021000</v>
      </c>
      <c r="F499" s="1413">
        <v>15510</v>
      </c>
      <c r="G499" s="1410">
        <v>1.6964999999999999</v>
      </c>
      <c r="H499" s="1412">
        <v>0.14096238999999999</v>
      </c>
      <c r="I499" s="1412">
        <v>3.2765999999999998E-5</v>
      </c>
      <c r="J499" s="1413">
        <v>5.9536999999999995</v>
      </c>
    </row>
    <row r="500" spans="2:10" x14ac:dyDescent="0.25">
      <c r="B500" s="1410" t="s">
        <v>912</v>
      </c>
      <c r="C500" s="1411">
        <v>2095</v>
      </c>
      <c r="D500" s="1410">
        <v>1209000</v>
      </c>
      <c r="E500" s="1412">
        <v>1202000</v>
      </c>
      <c r="F500" s="1413">
        <v>1052000</v>
      </c>
      <c r="G500" s="1410">
        <v>17.969000000000001</v>
      </c>
      <c r="H500" s="1412">
        <v>0.164128</v>
      </c>
      <c r="I500" s="1412">
        <v>2.9025999999999998E-4</v>
      </c>
      <c r="J500" s="1413">
        <v>22.988</v>
      </c>
    </row>
    <row r="501" spans="2:10" x14ac:dyDescent="0.25">
      <c r="B501" s="1410" t="s">
        <v>910</v>
      </c>
      <c r="C501" s="1411">
        <v>2095</v>
      </c>
      <c r="D501" s="1410">
        <v>1585000</v>
      </c>
      <c r="E501" s="1412">
        <v>696300</v>
      </c>
      <c r="F501" s="1413">
        <v>286000</v>
      </c>
      <c r="G501" s="1410">
        <v>38.049999999999997</v>
      </c>
      <c r="H501" s="1412">
        <v>0.1118</v>
      </c>
      <c r="I501" s="1412">
        <v>2.5350000000000001E-2</v>
      </c>
      <c r="J501" s="1413">
        <v>45.19</v>
      </c>
    </row>
    <row r="502" spans="2:10" x14ac:dyDescent="0.25">
      <c r="B502" s="1410" t="s">
        <v>913</v>
      </c>
      <c r="C502" s="1411">
        <v>2095</v>
      </c>
      <c r="D502" s="1410">
        <v>1249000</v>
      </c>
      <c r="E502" s="1412">
        <v>1242000</v>
      </c>
      <c r="F502" s="1413">
        <v>1078000</v>
      </c>
      <c r="G502" s="1410">
        <v>23.84</v>
      </c>
      <c r="H502" s="1412">
        <v>0.16985799999999998</v>
      </c>
      <c r="I502" s="1412">
        <v>3.7813000000000001E-4</v>
      </c>
      <c r="J502" s="1413">
        <v>29.157000000000004</v>
      </c>
    </row>
    <row r="503" spans="2:10" x14ac:dyDescent="0.25">
      <c r="B503" s="1410" t="s">
        <v>1081</v>
      </c>
      <c r="C503" s="1411">
        <v>2095</v>
      </c>
      <c r="D503" s="1410">
        <v>1190000</v>
      </c>
      <c r="E503" s="1412">
        <v>51590</v>
      </c>
      <c r="F503" s="1413">
        <v>29220</v>
      </c>
      <c r="G503" s="1410">
        <v>3.7582</v>
      </c>
      <c r="H503" s="1412">
        <v>8.4366999999999984E-3</v>
      </c>
      <c r="I503" s="1412">
        <v>-3.8261190000000002E-3</v>
      </c>
      <c r="J503" s="1413">
        <v>3.0054000000000003</v>
      </c>
    </row>
    <row r="504" spans="2:10" x14ac:dyDescent="0.25">
      <c r="B504" s="1410" t="s">
        <v>815</v>
      </c>
      <c r="C504" s="1411">
        <v>2095</v>
      </c>
      <c r="D504" s="1410">
        <v>1190000</v>
      </c>
      <c r="E504" s="1412">
        <v>51590</v>
      </c>
      <c r="F504" s="1413">
        <v>29220</v>
      </c>
      <c r="G504" s="1410">
        <v>3.7582</v>
      </c>
      <c r="H504" s="1412">
        <v>8.4366999999999984E-3</v>
      </c>
      <c r="I504" s="1412">
        <v>-3.8261190000000002E-3</v>
      </c>
      <c r="J504" s="1413">
        <v>3.0054000000000003</v>
      </c>
    </row>
    <row r="505" spans="2:10" x14ac:dyDescent="0.25">
      <c r="B505" s="1410" t="s">
        <v>824</v>
      </c>
      <c r="C505" s="1411">
        <v>2095</v>
      </c>
      <c r="D505" s="1410">
        <v>1190000</v>
      </c>
      <c r="E505" s="1412">
        <v>51590</v>
      </c>
      <c r="F505" s="1413">
        <v>29220</v>
      </c>
      <c r="G505" s="1410">
        <v>3.7582</v>
      </c>
      <c r="H505" s="1412">
        <v>8.4366999999999984E-3</v>
      </c>
      <c r="I505" s="1412">
        <v>-3.8261190000000002E-3</v>
      </c>
      <c r="J505" s="1413">
        <v>3.0054000000000003</v>
      </c>
    </row>
    <row r="506" spans="2:10" ht="13" thickBot="1" x14ac:dyDescent="0.3">
      <c r="B506" s="1414" t="s">
        <v>1088</v>
      </c>
      <c r="C506" s="1415">
        <v>2095</v>
      </c>
      <c r="D506" s="1414">
        <v>1384000</v>
      </c>
      <c r="E506" s="1416">
        <v>1383000</v>
      </c>
      <c r="F506" s="1417">
        <v>5034</v>
      </c>
      <c r="G506" s="1414">
        <v>78.571100000000001</v>
      </c>
      <c r="H506" s="1416">
        <v>0.27494000000000002</v>
      </c>
      <c r="I506" s="1416">
        <v>2.3304000000000003E-3</v>
      </c>
      <c r="J506" s="1417">
        <v>87.594300000000004</v>
      </c>
    </row>
    <row r="507" spans="2:10" x14ac:dyDescent="0.25">
      <c r="B507" s="1406" t="s">
        <v>1085</v>
      </c>
      <c r="C507" s="1407">
        <v>2100</v>
      </c>
      <c r="D507" s="1406">
        <v>1092000</v>
      </c>
      <c r="E507" s="1408">
        <v>1092000</v>
      </c>
      <c r="F507" s="1409">
        <v>3971</v>
      </c>
      <c r="G507" s="1406">
        <v>5.7390999999999996</v>
      </c>
      <c r="H507" s="1408">
        <v>0.18462200000000001</v>
      </c>
      <c r="I507" s="1408">
        <v>8.61E-4</v>
      </c>
      <c r="J507" s="1409">
        <v>11.5648</v>
      </c>
    </row>
    <row r="508" spans="2:10" x14ac:dyDescent="0.25">
      <c r="B508" s="1410" t="s">
        <v>283</v>
      </c>
      <c r="C508" s="1411">
        <v>2100</v>
      </c>
      <c r="D508" s="1410">
        <v>1092000</v>
      </c>
      <c r="E508" s="1412">
        <v>1092000</v>
      </c>
      <c r="F508" s="1413">
        <v>3971</v>
      </c>
      <c r="G508" s="1410">
        <v>5.7390999999999996</v>
      </c>
      <c r="H508" s="1412">
        <v>0.18462200000000001</v>
      </c>
      <c r="I508" s="1412">
        <v>8.61E-4</v>
      </c>
      <c r="J508" s="1413">
        <v>11.5648</v>
      </c>
    </row>
    <row r="509" spans="2:10" x14ac:dyDescent="0.25">
      <c r="B509" s="1410" t="s">
        <v>1086</v>
      </c>
      <c r="C509" s="1411">
        <v>2100</v>
      </c>
      <c r="D509" s="1410">
        <v>1092000</v>
      </c>
      <c r="E509" s="1412">
        <v>1092000</v>
      </c>
      <c r="F509" s="1413">
        <v>3971</v>
      </c>
      <c r="G509" s="1410">
        <v>5.7390999999999996</v>
      </c>
      <c r="H509" s="1412">
        <v>0.18462200000000001</v>
      </c>
      <c r="I509" s="1412">
        <v>8.61E-4</v>
      </c>
      <c r="J509" s="1413">
        <v>11.5648</v>
      </c>
    </row>
    <row r="510" spans="2:10" x14ac:dyDescent="0.25">
      <c r="B510" s="1410" t="s">
        <v>681</v>
      </c>
      <c r="C510" s="1411">
        <v>2100</v>
      </c>
      <c r="D510" s="1410">
        <v>1092000</v>
      </c>
      <c r="E510" s="1412">
        <v>1092000</v>
      </c>
      <c r="F510" s="1413">
        <v>3971</v>
      </c>
      <c r="G510" s="1410">
        <v>5.7390999999999996</v>
      </c>
      <c r="H510" s="1412">
        <v>0.18462200000000001</v>
      </c>
      <c r="I510" s="1412">
        <v>8.61E-4</v>
      </c>
      <c r="J510" s="1413">
        <v>11.5648</v>
      </c>
    </row>
    <row r="511" spans="2:10" x14ac:dyDescent="0.25">
      <c r="B511" s="1410" t="s">
        <v>682</v>
      </c>
      <c r="C511" s="1411">
        <v>2100</v>
      </c>
      <c r="D511" s="1410">
        <v>-1185000</v>
      </c>
      <c r="E511" s="1412">
        <v>0</v>
      </c>
      <c r="F511" s="1413">
        <v>0</v>
      </c>
      <c r="G511" s="1410">
        <v>-85.800000000000011</v>
      </c>
      <c r="H511" s="1412">
        <v>0.54700000000000004</v>
      </c>
      <c r="I511" s="1412">
        <v>-1.8286999999999999E-3</v>
      </c>
      <c r="J511" s="1413">
        <v>-70.08</v>
      </c>
    </row>
    <row r="512" spans="2:10" x14ac:dyDescent="0.25">
      <c r="B512" s="1410" t="s">
        <v>683</v>
      </c>
      <c r="C512" s="1411">
        <v>2100</v>
      </c>
      <c r="D512" s="1410">
        <v>1721000</v>
      </c>
      <c r="E512" s="1412">
        <v>1293000</v>
      </c>
      <c r="F512" s="1413">
        <v>15050</v>
      </c>
      <c r="G512" s="1410">
        <v>125.08</v>
      </c>
      <c r="H512" s="1412">
        <v>0.20477100000000001</v>
      </c>
      <c r="I512" s="1412">
        <v>1.7827000000000001E-3</v>
      </c>
      <c r="J512" s="1413">
        <v>129.82</v>
      </c>
    </row>
    <row r="513" spans="2:10" x14ac:dyDescent="0.25">
      <c r="B513" s="1410" t="s">
        <v>698</v>
      </c>
      <c r="C513" s="1411">
        <v>2100</v>
      </c>
      <c r="D513" s="1410">
        <v>1721000</v>
      </c>
      <c r="E513" s="1412">
        <v>1293000</v>
      </c>
      <c r="F513" s="1413">
        <v>15050</v>
      </c>
      <c r="G513" s="1410">
        <v>125.08</v>
      </c>
      <c r="H513" s="1412">
        <v>0.20477100000000001</v>
      </c>
      <c r="I513" s="1412">
        <v>1.7827000000000001E-3</v>
      </c>
      <c r="J513" s="1413">
        <v>129.82</v>
      </c>
    </row>
    <row r="514" spans="2:10" x14ac:dyDescent="0.25">
      <c r="B514" s="1410" t="s">
        <v>684</v>
      </c>
      <c r="C514" s="1411">
        <v>2100</v>
      </c>
      <c r="D514" s="1410">
        <v>1721000</v>
      </c>
      <c r="E514" s="1412">
        <v>1293000</v>
      </c>
      <c r="F514" s="1413">
        <v>15050</v>
      </c>
      <c r="G514" s="1410">
        <v>125.08</v>
      </c>
      <c r="H514" s="1412">
        <v>0.20477100000000001</v>
      </c>
      <c r="I514" s="1412">
        <v>1.7827000000000001E-3</v>
      </c>
      <c r="J514" s="1413">
        <v>129.82</v>
      </c>
    </row>
    <row r="515" spans="2:10" x14ac:dyDescent="0.25">
      <c r="B515" s="1410" t="s">
        <v>1087</v>
      </c>
      <c r="C515" s="1411">
        <v>2100</v>
      </c>
      <c r="D515" s="1410">
        <v>1022000</v>
      </c>
      <c r="E515" s="1412">
        <v>1021000</v>
      </c>
      <c r="F515" s="1413">
        <v>15510</v>
      </c>
      <c r="G515" s="1410">
        <v>1.6964999999999999</v>
      </c>
      <c r="H515" s="1412">
        <v>0.14096238999999999</v>
      </c>
      <c r="I515" s="1412">
        <v>3.2765999999999998E-5</v>
      </c>
      <c r="J515" s="1413">
        <v>5.9536999999999995</v>
      </c>
    </row>
    <row r="516" spans="2:10" x14ac:dyDescent="0.25">
      <c r="B516" s="1410" t="s">
        <v>716</v>
      </c>
      <c r="C516" s="1411">
        <v>2100</v>
      </c>
      <c r="D516" s="1410">
        <v>1022000</v>
      </c>
      <c r="E516" s="1412">
        <v>1021000</v>
      </c>
      <c r="F516" s="1413">
        <v>15510</v>
      </c>
      <c r="G516" s="1410">
        <v>1.6964999999999999</v>
      </c>
      <c r="H516" s="1412">
        <v>0.14096238999999999</v>
      </c>
      <c r="I516" s="1412">
        <v>3.2765999999999998E-5</v>
      </c>
      <c r="J516" s="1413">
        <v>5.9536999999999995</v>
      </c>
    </row>
    <row r="517" spans="2:10" x14ac:dyDescent="0.25">
      <c r="B517" s="1410" t="s">
        <v>717</v>
      </c>
      <c r="C517" s="1411">
        <v>2100</v>
      </c>
      <c r="D517" s="1410">
        <v>1022000</v>
      </c>
      <c r="E517" s="1412">
        <v>1021000</v>
      </c>
      <c r="F517" s="1413">
        <v>15510</v>
      </c>
      <c r="G517" s="1410">
        <v>1.6964999999999999</v>
      </c>
      <c r="H517" s="1412">
        <v>0.14096238999999999</v>
      </c>
      <c r="I517" s="1412">
        <v>3.2765999999999998E-5</v>
      </c>
      <c r="J517" s="1413">
        <v>5.9536999999999995</v>
      </c>
    </row>
    <row r="518" spans="2:10" x14ac:dyDescent="0.25">
      <c r="B518" s="1410" t="s">
        <v>912</v>
      </c>
      <c r="C518" s="1411">
        <v>2100</v>
      </c>
      <c r="D518" s="1410">
        <v>1209000</v>
      </c>
      <c r="E518" s="1412">
        <v>1202000</v>
      </c>
      <c r="F518" s="1413">
        <v>1052000</v>
      </c>
      <c r="G518" s="1410">
        <v>17.969000000000001</v>
      </c>
      <c r="H518" s="1412">
        <v>0.164128</v>
      </c>
      <c r="I518" s="1412">
        <v>2.9025999999999998E-4</v>
      </c>
      <c r="J518" s="1413">
        <v>22.988</v>
      </c>
    </row>
    <row r="519" spans="2:10" x14ac:dyDescent="0.25">
      <c r="B519" s="1410" t="s">
        <v>910</v>
      </c>
      <c r="C519" s="1411">
        <v>2100</v>
      </c>
      <c r="D519" s="1410">
        <v>1585000</v>
      </c>
      <c r="E519" s="1412">
        <v>696300</v>
      </c>
      <c r="F519" s="1413">
        <v>286000</v>
      </c>
      <c r="G519" s="1410">
        <v>38.049999999999997</v>
      </c>
      <c r="H519" s="1412">
        <v>0.1118</v>
      </c>
      <c r="I519" s="1412">
        <v>2.5350000000000001E-2</v>
      </c>
      <c r="J519" s="1413">
        <v>45.19</v>
      </c>
    </row>
    <row r="520" spans="2:10" x14ac:dyDescent="0.25">
      <c r="B520" s="1410" t="s">
        <v>913</v>
      </c>
      <c r="C520" s="1411">
        <v>2100</v>
      </c>
      <c r="D520" s="1410">
        <v>1249000</v>
      </c>
      <c r="E520" s="1412">
        <v>1242000</v>
      </c>
      <c r="F520" s="1413">
        <v>1078000</v>
      </c>
      <c r="G520" s="1410">
        <v>23.84</v>
      </c>
      <c r="H520" s="1412">
        <v>0.16985799999999998</v>
      </c>
      <c r="I520" s="1412">
        <v>3.7813000000000001E-4</v>
      </c>
      <c r="J520" s="1413">
        <v>29.157000000000004</v>
      </c>
    </row>
    <row r="521" spans="2:10" x14ac:dyDescent="0.25">
      <c r="B521" s="1410" t="s">
        <v>1081</v>
      </c>
      <c r="C521" s="1411">
        <v>2100</v>
      </c>
      <c r="D521" s="1410">
        <v>1190000</v>
      </c>
      <c r="E521" s="1412">
        <v>51590</v>
      </c>
      <c r="F521" s="1413">
        <v>29220</v>
      </c>
      <c r="G521" s="1410">
        <v>3.7582</v>
      </c>
      <c r="H521" s="1412">
        <v>8.4366999999999984E-3</v>
      </c>
      <c r="I521" s="1412">
        <v>-3.8261190000000002E-3</v>
      </c>
      <c r="J521" s="1413">
        <v>3.0054000000000003</v>
      </c>
    </row>
    <row r="522" spans="2:10" x14ac:dyDescent="0.25">
      <c r="B522" s="1410" t="s">
        <v>815</v>
      </c>
      <c r="C522" s="1411">
        <v>2100</v>
      </c>
      <c r="D522" s="1410">
        <v>1190000</v>
      </c>
      <c r="E522" s="1412">
        <v>51590</v>
      </c>
      <c r="F522" s="1413">
        <v>29220</v>
      </c>
      <c r="G522" s="1410">
        <v>3.7582</v>
      </c>
      <c r="H522" s="1412">
        <v>8.4366999999999984E-3</v>
      </c>
      <c r="I522" s="1412">
        <v>-3.8261190000000002E-3</v>
      </c>
      <c r="J522" s="1413">
        <v>3.0054000000000003</v>
      </c>
    </row>
    <row r="523" spans="2:10" x14ac:dyDescent="0.25">
      <c r="B523" s="1410" t="s">
        <v>824</v>
      </c>
      <c r="C523" s="1411">
        <v>2100</v>
      </c>
      <c r="D523" s="1410">
        <v>1190000</v>
      </c>
      <c r="E523" s="1412">
        <v>51590</v>
      </c>
      <c r="F523" s="1413">
        <v>29220</v>
      </c>
      <c r="G523" s="1410">
        <v>3.7582</v>
      </c>
      <c r="H523" s="1412">
        <v>8.4366999999999984E-3</v>
      </c>
      <c r="I523" s="1412">
        <v>-3.8261190000000002E-3</v>
      </c>
      <c r="J523" s="1413">
        <v>3.0054000000000003</v>
      </c>
    </row>
    <row r="524" spans="2:10" ht="13" thickBot="1" x14ac:dyDescent="0.3">
      <c r="B524" s="1414" t="s">
        <v>1088</v>
      </c>
      <c r="C524" s="1415">
        <v>2100</v>
      </c>
      <c r="D524" s="1414">
        <v>1384000</v>
      </c>
      <c r="E524" s="1416">
        <v>1383000</v>
      </c>
      <c r="F524" s="1417">
        <v>5034</v>
      </c>
      <c r="G524" s="1414">
        <v>78.571100000000001</v>
      </c>
      <c r="H524" s="1416">
        <v>0.27494000000000002</v>
      </c>
      <c r="I524" s="1416">
        <v>2.3304000000000003E-3</v>
      </c>
      <c r="J524" s="1417">
        <v>87.594300000000004</v>
      </c>
    </row>
  </sheetData>
  <mergeCells count="23">
    <mergeCell ref="A52:K52"/>
    <mergeCell ref="A51:K51"/>
    <mergeCell ref="D91:E91"/>
    <mergeCell ref="A59:K59"/>
    <mergeCell ref="A2:K2"/>
    <mergeCell ref="A3:K3"/>
    <mergeCell ref="C4:E4"/>
    <mergeCell ref="G4:I4"/>
    <mergeCell ref="A56:K56"/>
    <mergeCell ref="A57:K57"/>
    <mergeCell ref="K92:L92"/>
    <mergeCell ref="A91:B91"/>
    <mergeCell ref="A58:K58"/>
    <mergeCell ref="A53:K53"/>
    <mergeCell ref="C134:E134"/>
    <mergeCell ref="F134:H134"/>
    <mergeCell ref="A54:K54"/>
    <mergeCell ref="G91:H91"/>
    <mergeCell ref="D92:E92"/>
    <mergeCell ref="A55:K55"/>
    <mergeCell ref="A61:K61"/>
    <mergeCell ref="A62:K62"/>
    <mergeCell ref="K91:L91"/>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zoomScale="70" zoomScaleNormal="70" workbookViewId="0">
      <selection activeCell="C14" sqref="C14"/>
    </sheetView>
  </sheetViews>
  <sheetFormatPr defaultColWidth="9.1796875" defaultRowHeight="12.5" x14ac:dyDescent="0.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x14ac:dyDescent="0.4">
      <c r="A1" s="37" t="s">
        <v>32</v>
      </c>
    </row>
    <row r="2" spans="1:12" ht="15" customHeight="1" x14ac:dyDescent="0.25">
      <c r="A2"/>
      <c r="B2"/>
      <c r="C2"/>
      <c r="D2"/>
      <c r="E2"/>
      <c r="G2" s="39"/>
      <c r="K2" s="40"/>
      <c r="L2" s="41"/>
    </row>
    <row r="3" spans="1:12" ht="15" customHeight="1" x14ac:dyDescent="0.25">
      <c r="A3"/>
      <c r="B3"/>
      <c r="C3"/>
      <c r="D3"/>
      <c r="E3"/>
      <c r="F3" s="44"/>
      <c r="G3" s="44"/>
      <c r="H3" s="39"/>
      <c r="K3" s="40"/>
      <c r="L3" s="41"/>
    </row>
    <row r="4" spans="1:12" ht="15" customHeight="1" x14ac:dyDescent="0.25">
      <c r="A4"/>
      <c r="B4"/>
      <c r="C4"/>
      <c r="D4"/>
      <c r="E4"/>
      <c r="F4" s="44"/>
      <c r="G4" s="44"/>
      <c r="H4" s="39"/>
      <c r="K4" s="40"/>
      <c r="L4" s="41"/>
    </row>
    <row r="5" spans="1:12" ht="15" customHeight="1" x14ac:dyDescent="0.25">
      <c r="A5"/>
      <c r="B5"/>
      <c r="C5"/>
      <c r="D5"/>
      <c r="E5"/>
      <c r="G5" s="39"/>
      <c r="K5" s="45"/>
      <c r="L5" s="41"/>
    </row>
    <row r="6" spans="1:12" ht="15" customHeight="1" x14ac:dyDescent="0.25">
      <c r="A6"/>
      <c r="B6"/>
      <c r="C6"/>
      <c r="D6"/>
      <c r="E6"/>
      <c r="G6" s="39"/>
      <c r="K6" s="45"/>
      <c r="L6" s="41"/>
    </row>
    <row r="7" spans="1:12" ht="15" customHeight="1" x14ac:dyDescent="0.25">
      <c r="A7"/>
      <c r="B7"/>
      <c r="C7"/>
      <c r="D7"/>
      <c r="E7"/>
      <c r="G7" s="39"/>
      <c r="K7" s="45"/>
      <c r="L7" s="41"/>
    </row>
    <row r="8" spans="1:12" x14ac:dyDescent="0.25">
      <c r="A8"/>
      <c r="B8"/>
      <c r="C8"/>
      <c r="D8"/>
      <c r="E8"/>
    </row>
    <row r="9" spans="1:12" x14ac:dyDescent="0.25">
      <c r="A9"/>
      <c r="B9"/>
      <c r="C9"/>
      <c r="D9"/>
      <c r="E9"/>
    </row>
    <row r="10" spans="1:12" ht="13" thickBot="1" x14ac:dyDescent="0.3"/>
    <row r="11" spans="1:12" s="53" customFormat="1" ht="24.75" customHeight="1" thickTop="1" thickBot="1" x14ac:dyDescent="0.4">
      <c r="A11" s="49" t="s">
        <v>39</v>
      </c>
      <c r="B11" s="50"/>
      <c r="C11" s="51"/>
      <c r="D11" s="51"/>
      <c r="E11" s="51"/>
      <c r="F11" s="51"/>
      <c r="G11" s="52"/>
    </row>
    <row r="12" spans="1:12" s="53" customFormat="1" ht="24.75" customHeight="1" thickTop="1" thickBot="1" x14ac:dyDescent="0.4">
      <c r="A12" s="1511"/>
      <c r="B12" s="1709"/>
      <c r="C12" s="1710"/>
      <c r="D12" s="1710"/>
      <c r="E12" s="1710"/>
      <c r="F12" s="1710"/>
      <c r="G12" s="1710"/>
    </row>
    <row r="13" spans="1:12" s="53" customFormat="1" ht="21" customHeight="1" thickTop="1" x14ac:dyDescent="0.3">
      <c r="A13" s="54" t="s">
        <v>40</v>
      </c>
      <c r="B13" s="55" t="s">
        <v>41</v>
      </c>
      <c r="C13" s="56" t="s">
        <v>42</v>
      </c>
      <c r="D13" s="56" t="s">
        <v>43</v>
      </c>
      <c r="E13" s="56" t="s">
        <v>44</v>
      </c>
      <c r="F13" s="56" t="s">
        <v>45</v>
      </c>
      <c r="G13" s="57" t="s">
        <v>46</v>
      </c>
    </row>
    <row r="14" spans="1:12" s="53" customFormat="1" ht="15" customHeight="1" x14ac:dyDescent="0.25">
      <c r="A14" s="1090">
        <f>'Cash Flow Analysis'!B65</f>
        <v>1</v>
      </c>
      <c r="B14" s="1513">
        <f>IF(B13="","",IF('Cash Flow Analysis'!$B$31=0,"N/A",IF(A14=1,1,IF(A13=debt_period,"",B13+1))))</f>
        <v>1</v>
      </c>
      <c r="C14" s="1093">
        <f ca="1">IF(OR(A14="",B14="",B14="N/A"),"",IF(B14=1,-'Cash Flow Analysis'!G65,IF(B14="N/A",0,G13)))</f>
        <v>137979487.64978874</v>
      </c>
      <c r="D14" s="1093">
        <f ca="1">IF(debt_period=0,
E14+F14,
IF(OR(A14="",B14="",B14="N/A"),"",IF(B14=1,((debt_interest*(1+debt_interest)^debt_period)/((1+debt_interest)^debt_period-1))*(-'Cash Flow Analysis'!G65),IF(G13=0,"",D13))))</f>
        <v>5105241.0430421829</v>
      </c>
      <c r="E14" s="1093">
        <f t="shared" ref="E14:E57" ca="1" si="0">IF(OR(A14="",B14="",B14="N/A"),"",C14*debt_interest)</f>
        <v>5105241.0430421829</v>
      </c>
      <c r="F14" s="1093">
        <f>IF(debt_period=0,
IF(B14=(anal_period+construct),0,0),
IF(OR(A14="",B14="",B14="N/A"),"",D14-E14))</f>
        <v>0</v>
      </c>
      <c r="G14" s="1514">
        <f t="shared" ref="G14:G57" ca="1" si="1">IF(OR(A14="",B14="",B14="N/A"),"",C14-F14)</f>
        <v>137979487.64978874</v>
      </c>
    </row>
    <row r="15" spans="1:12" s="53" customFormat="1" ht="15" customHeight="1" x14ac:dyDescent="0.25">
      <c r="A15" s="1090">
        <f>'Cash Flow Analysis'!B66</f>
        <v>2</v>
      </c>
      <c r="B15" s="1513">
        <f>IF(B14="","",IF('Cash Flow Analysis'!$B$31=0,"N/A",IF(A15=1,1,IF(A14=debt_period,"",B14+1))))</f>
        <v>2</v>
      </c>
      <c r="C15" s="1093">
        <f ca="1">IF(OR(A15="",B15="",B15="N/A"),"",IF(B15=1,-'Cash Flow Analysis'!G66,IF(B15="N/A",0,G14)))</f>
        <v>137979487.64978874</v>
      </c>
      <c r="D15" s="1093">
        <f ca="1">IF(debt_period=0,
E15+F15,
IF(OR(A15="",B15="",B15="N/A"),"",IF(B15=1,((debt_interest*(1+debt_interest)^debt_period)/((1+debt_interest)^debt_period-1))*(-'Cash Flow Analysis'!G66),IF(G14=0,"",D14))))</f>
        <v>5105241.0430421829</v>
      </c>
      <c r="E15" s="1093">
        <f t="shared" ca="1" si="0"/>
        <v>5105241.0430421829</v>
      </c>
      <c r="F15" s="1093">
        <f>IF(debt_period=0,
IF(B15=(anal_period+construct),C14,0),
IF(OR(A15="",B15="",B15="N/A"),"",D15-E15))</f>
        <v>0</v>
      </c>
      <c r="G15" s="1514">
        <f t="shared" ca="1" si="1"/>
        <v>137979487.64978874</v>
      </c>
    </row>
    <row r="16" spans="1:12" s="53" customFormat="1" ht="15" customHeight="1" x14ac:dyDescent="0.25">
      <c r="A16" s="1090">
        <f>'Cash Flow Analysis'!B67</f>
        <v>3</v>
      </c>
      <c r="B16" s="1513">
        <f>IF(B15="","",IF('Cash Flow Analysis'!$B$31=0,"N/A",IF(A16=1,1,IF(A15=debt_period,"",B15+1))))</f>
        <v>3</v>
      </c>
      <c r="C16" s="1093">
        <f ca="1">IF(OR(A16="",B16="",B16="N/A"),"",IF(B16=1,-'Cash Flow Analysis'!G67,IF(B16="N/A",0,G15)))</f>
        <v>137979487.64978874</v>
      </c>
      <c r="D16" s="1093">
        <f ca="1">IF(debt_period=0,
E16+F16,
IF(OR(A16="",B16="",B16="N/A"),"",IF(B16=1,((debt_interest*(1+debt_interest)^debt_period)/((1+debt_interest)^debt_period-1))*(-'Cash Flow Analysis'!G67),IF(G15=0,"",D15))))</f>
        <v>5105241.0430421829</v>
      </c>
      <c r="E16" s="1093">
        <f t="shared" ca="1" si="0"/>
        <v>5105241.0430421829</v>
      </c>
      <c r="F16" s="1093">
        <f t="shared" ref="F16:F57" si="2">IF(debt_period=0,
IF(B16=(anal_period+construct),C16,0),
IF(OR(A16="",B16="",B16="N/A"),"",D16-E16))</f>
        <v>0</v>
      </c>
      <c r="G16" s="1514">
        <f t="shared" ca="1" si="1"/>
        <v>137979487.64978874</v>
      </c>
    </row>
    <row r="17" spans="1:7" s="53" customFormat="1" ht="15" customHeight="1" x14ac:dyDescent="0.25">
      <c r="A17" s="1090">
        <f>'Cash Flow Analysis'!B68</f>
        <v>4</v>
      </c>
      <c r="B17" s="1513">
        <f>IF(B16="","",IF('Cash Flow Analysis'!$B$31=0,"N/A",IF(A17=1,1,IF(A16=debt_period,"",B16+1))))</f>
        <v>4</v>
      </c>
      <c r="C17" s="1093">
        <f ca="1">IF(OR(A17="",B17="",B17="N/A"),"",IF(B17=1,-'Cash Flow Analysis'!G68,IF(B17="N/A",0,G16)))</f>
        <v>137979487.64978874</v>
      </c>
      <c r="D17" s="1093">
        <f ca="1">IF(debt_period=0,
E17+F17,
IF(OR(A17="",B17="",B17="N/A"),"",IF(B17=1,((debt_interest*(1+debt_interest)^debt_period)/((1+debt_interest)^debt_period-1))*(-'Cash Flow Analysis'!G68),IF(G16=0,"",D16))))</f>
        <v>5105241.0430421829</v>
      </c>
      <c r="E17" s="1093">
        <f t="shared" ca="1" si="0"/>
        <v>5105241.0430421829</v>
      </c>
      <c r="F17" s="1093">
        <f t="shared" si="2"/>
        <v>0</v>
      </c>
      <c r="G17" s="1514">
        <f t="shared" ca="1" si="1"/>
        <v>137979487.64978874</v>
      </c>
    </row>
    <row r="18" spans="1:7" s="53" customFormat="1" ht="15" customHeight="1" x14ac:dyDescent="0.25">
      <c r="A18" s="1090">
        <f>'Cash Flow Analysis'!B69</f>
        <v>5</v>
      </c>
      <c r="B18" s="1513">
        <f>IF(B17="","",IF('Cash Flow Analysis'!$B$31=0,"N/A",IF(A18=1,1,IF(A17=debt_period,"",B17+1))))</f>
        <v>5</v>
      </c>
      <c r="C18" s="1093">
        <f ca="1">IF(OR(A18="",B18="",B18="N/A"),"",IF(B18=1,-'Cash Flow Analysis'!G69,IF(B18="N/A",0,G17)))</f>
        <v>137979487.64978874</v>
      </c>
      <c r="D18" s="1093">
        <f ca="1">IF(debt_period=0,
E18+F18,
IF(OR(A18="",B18="",B18="N/A"),"",IF(B18=1,((debt_interest*(1+debt_interest)^debt_period)/((1+debt_interest)^debt_period-1))*(-'Cash Flow Analysis'!G69),IF(G17=0,"",D17))))</f>
        <v>5105241.0430421829</v>
      </c>
      <c r="E18" s="1093">
        <f t="shared" ca="1" si="0"/>
        <v>5105241.0430421829</v>
      </c>
      <c r="F18" s="1093">
        <f t="shared" si="2"/>
        <v>0</v>
      </c>
      <c r="G18" s="1514">
        <f t="shared" ca="1" si="1"/>
        <v>137979487.64978874</v>
      </c>
    </row>
    <row r="19" spans="1:7" s="53" customFormat="1" ht="15" customHeight="1" x14ac:dyDescent="0.25">
      <c r="A19" s="1090">
        <f>'Cash Flow Analysis'!B70</f>
        <v>6</v>
      </c>
      <c r="B19" s="1513">
        <f>IF(B18="","",IF('Cash Flow Analysis'!$B$31=0,"N/A",IF(A19=1,1,IF(A18=debt_period,"",B18+1))))</f>
        <v>6</v>
      </c>
      <c r="C19" s="1093">
        <f ca="1">IF(OR(A19="",B19="",B19="N/A"),"",IF(B19=1,-'Cash Flow Analysis'!G70,IF(B19="N/A",0,G18)))</f>
        <v>137979487.64978874</v>
      </c>
      <c r="D19" s="1093">
        <f ca="1">IF(debt_period=0,
E19+F19,
IF(OR(A19="",B19="",B19="N/A"),"",IF(B19=1,((debt_interest*(1+debt_interest)^debt_period)/((1+debt_interest)^debt_period-1))*(-'Cash Flow Analysis'!G70),IF(G18=0,"",D18))))</f>
        <v>5105241.0430421829</v>
      </c>
      <c r="E19" s="1093">
        <f t="shared" ca="1" si="0"/>
        <v>5105241.0430421829</v>
      </c>
      <c r="F19" s="1093">
        <f t="shared" si="2"/>
        <v>0</v>
      </c>
      <c r="G19" s="1514">
        <f t="shared" ca="1" si="1"/>
        <v>137979487.64978874</v>
      </c>
    </row>
    <row r="20" spans="1:7" s="53" customFormat="1" ht="15" customHeight="1" x14ac:dyDescent="0.25">
      <c r="A20" s="1090">
        <f>'Cash Flow Analysis'!B71</f>
        <v>7</v>
      </c>
      <c r="B20" s="1513">
        <f>IF(B19="","",IF('Cash Flow Analysis'!$B$31=0,"N/A",IF(A20=1,1,IF(A19=debt_period,"",B19+1))))</f>
        <v>7</v>
      </c>
      <c r="C20" s="1093">
        <f ca="1">IF(OR(A20="",B20="",B20="N/A"),"",IF(B20=1,-'Cash Flow Analysis'!G71,IF(B20="N/A",0,G19)))</f>
        <v>137979487.64978874</v>
      </c>
      <c r="D20" s="1093">
        <f ca="1">IF(debt_period=0,
E20+F20,
IF(OR(A20="",B20="",B20="N/A"),"",IF(B20=1,((debt_interest*(1+debt_interest)^debt_period)/((1+debt_interest)^debt_period-1))*(-'Cash Flow Analysis'!G71),IF(G19=0,"",D19))))</f>
        <v>5105241.0430421829</v>
      </c>
      <c r="E20" s="1093">
        <f t="shared" ca="1" si="0"/>
        <v>5105241.0430421829</v>
      </c>
      <c r="F20" s="1093">
        <f t="shared" si="2"/>
        <v>0</v>
      </c>
      <c r="G20" s="1514">
        <f t="shared" ca="1" si="1"/>
        <v>137979487.64978874</v>
      </c>
    </row>
    <row r="21" spans="1:7" s="53" customFormat="1" ht="15" customHeight="1" x14ac:dyDescent="0.25">
      <c r="A21" s="1090">
        <f>'Cash Flow Analysis'!B72</f>
        <v>8</v>
      </c>
      <c r="B21" s="1513">
        <f>IF(B20="","",IF('Cash Flow Analysis'!$B$31=0,"N/A",IF(A21=1,1,IF(A20=debt_period,"",B20+1))))</f>
        <v>8</v>
      </c>
      <c r="C21" s="1093">
        <f ca="1">IF(OR(A21="",B21="",B21="N/A"),"",IF(B21=1,-'Cash Flow Analysis'!G72,IF(B21="N/A",0,G20)))</f>
        <v>137979487.64978874</v>
      </c>
      <c r="D21" s="1093">
        <f ca="1">IF(debt_period=0,
E21+F21,
IF(OR(A21="",B21="",B21="N/A"),"",IF(B21=1,((debt_interest*(1+debt_interest)^debt_period)/((1+debt_interest)^debt_period-1))*(-'Cash Flow Analysis'!G72),IF(G20=0,"",D20))))</f>
        <v>5105241.0430421829</v>
      </c>
      <c r="E21" s="1093">
        <f t="shared" ca="1" si="0"/>
        <v>5105241.0430421829</v>
      </c>
      <c r="F21" s="1093">
        <f t="shared" si="2"/>
        <v>0</v>
      </c>
      <c r="G21" s="1514">
        <f t="shared" ca="1" si="1"/>
        <v>137979487.64978874</v>
      </c>
    </row>
    <row r="22" spans="1:7" s="53" customFormat="1" ht="15" customHeight="1" x14ac:dyDescent="0.25">
      <c r="A22" s="1090">
        <f>'Cash Flow Analysis'!B73</f>
        <v>9</v>
      </c>
      <c r="B22" s="1513">
        <f>IF(B21="","",IF('Cash Flow Analysis'!$B$31=0,"N/A",IF(A22=1,1,IF(A21=debt_period,"",B21+1))))</f>
        <v>9</v>
      </c>
      <c r="C22" s="1093">
        <f ca="1">IF(OR(A22="",B22="",B22="N/A"),"",IF(B22=1,-'Cash Flow Analysis'!G73,IF(B22="N/A",0,G21)))</f>
        <v>137979487.64978874</v>
      </c>
      <c r="D22" s="1093">
        <f ca="1">IF(debt_period=0,
E22+F22,
IF(OR(A22="",B22="",B22="N/A"),"",IF(B22=1,((debt_interest*(1+debt_interest)^debt_period)/((1+debt_interest)^debt_period-1))*(-'Cash Flow Analysis'!G73),IF(G21=0,"",D21))))</f>
        <v>5105241.0430421829</v>
      </c>
      <c r="E22" s="1093">
        <f t="shared" ca="1" si="0"/>
        <v>5105241.0430421829</v>
      </c>
      <c r="F22" s="1093">
        <f t="shared" si="2"/>
        <v>0</v>
      </c>
      <c r="G22" s="1514">
        <f t="shared" ca="1" si="1"/>
        <v>137979487.64978874</v>
      </c>
    </row>
    <row r="23" spans="1:7" s="53" customFormat="1" ht="15" customHeight="1" x14ac:dyDescent="0.25">
      <c r="A23" s="1090">
        <f>'Cash Flow Analysis'!B74</f>
        <v>10</v>
      </c>
      <c r="B23" s="1513">
        <f>IF(B22="","",IF('Cash Flow Analysis'!$B$31=0,"N/A",IF(A23=1,1,IF(A22=debt_period,"",B22+1))))</f>
        <v>10</v>
      </c>
      <c r="C23" s="1093">
        <f ca="1">IF(OR(A23="",B23="",B23="N/A"),"",IF(B23=1,-'Cash Flow Analysis'!G74,IF(B23="N/A",0,G22)))</f>
        <v>137979487.64978874</v>
      </c>
      <c r="D23" s="1093">
        <f ca="1">IF(debt_period=0,
E23+F23,
IF(OR(A23="",B23="",B23="N/A"),"",IF(B23=1,((debt_interest*(1+debt_interest)^debt_period)/((1+debt_interest)^debt_period-1))*(-'Cash Flow Analysis'!G74),IF(G22=0,"",D22))))</f>
        <v>5105241.0430421829</v>
      </c>
      <c r="E23" s="1093">
        <f t="shared" ca="1" si="0"/>
        <v>5105241.0430421829</v>
      </c>
      <c r="F23" s="1093">
        <f t="shared" si="2"/>
        <v>0</v>
      </c>
      <c r="G23" s="1514">
        <f t="shared" ca="1" si="1"/>
        <v>137979487.64978874</v>
      </c>
    </row>
    <row r="24" spans="1:7" s="53" customFormat="1" ht="15" customHeight="1" x14ac:dyDescent="0.25">
      <c r="A24" s="1090">
        <f>'Cash Flow Analysis'!B75</f>
        <v>11</v>
      </c>
      <c r="B24" s="1513">
        <f>IF(B23="","",IF('Cash Flow Analysis'!$B$31=0,"N/A",IF(A24=1,1,IF(A23=debt_period,"",B23+1))))</f>
        <v>11</v>
      </c>
      <c r="C24" s="1093">
        <f ca="1">IF(OR(A24="",B24="",B24="N/A"),"",IF(B24=1,-'Cash Flow Analysis'!G75,IF(B24="N/A",0,G23)))</f>
        <v>137979487.64978874</v>
      </c>
      <c r="D24" s="1093">
        <f ca="1">IF(debt_period=0,
E24+F24,
IF(OR(A24="",B24="",B24="N/A"),"",IF(B24=1,((debt_interest*(1+debt_interest)^debt_period)/((1+debt_interest)^debt_period-1))*(-'Cash Flow Analysis'!G75),IF(G23=0,"",D23))))</f>
        <v>5105241.0430421829</v>
      </c>
      <c r="E24" s="1093">
        <f t="shared" ca="1" si="0"/>
        <v>5105241.0430421829</v>
      </c>
      <c r="F24" s="1093">
        <f t="shared" si="2"/>
        <v>0</v>
      </c>
      <c r="G24" s="1514">
        <f t="shared" ca="1" si="1"/>
        <v>137979487.64978874</v>
      </c>
    </row>
    <row r="25" spans="1:7" s="53" customFormat="1" ht="15" customHeight="1" x14ac:dyDescent="0.25">
      <c r="A25" s="1090">
        <f>'Cash Flow Analysis'!B76</f>
        <v>12</v>
      </c>
      <c r="B25" s="1513">
        <f>IF(B24="","",IF('Cash Flow Analysis'!$B$31=0,"N/A",IF(A25=1,1,IF(A24=debt_period,"",B24+1))))</f>
        <v>12</v>
      </c>
      <c r="C25" s="1093">
        <f ca="1">IF(OR(A25="",B25="",B25="N/A"),"",IF(B25=1,-'Cash Flow Analysis'!G76,IF(B25="N/A",0,G24)))</f>
        <v>137979487.64978874</v>
      </c>
      <c r="D25" s="1093">
        <f ca="1">IF(debt_period=0,
E25+F25,
IF(OR(A25="",B25="",B25="N/A"),"",IF(B25=1,((debt_interest*(1+debt_interest)^debt_period)/((1+debt_interest)^debt_period-1))*(-'Cash Flow Analysis'!G76),IF(G24=0,"",D24))))</f>
        <v>5105241.0430421829</v>
      </c>
      <c r="E25" s="1093">
        <f t="shared" ca="1" si="0"/>
        <v>5105241.0430421829</v>
      </c>
      <c r="F25" s="1093">
        <f t="shared" si="2"/>
        <v>0</v>
      </c>
      <c r="G25" s="1514">
        <f t="shared" ca="1" si="1"/>
        <v>137979487.64978874</v>
      </c>
    </row>
    <row r="26" spans="1:7" s="53" customFormat="1" ht="15" customHeight="1" x14ac:dyDescent="0.25">
      <c r="A26" s="1090">
        <f>'Cash Flow Analysis'!B77</f>
        <v>13</v>
      </c>
      <c r="B26" s="1513">
        <f>IF(B25="","",IF('Cash Flow Analysis'!$B$31=0,"N/A",IF(A26=1,1,IF(A25=debt_period,"",B25+1))))</f>
        <v>13</v>
      </c>
      <c r="C26" s="1093">
        <f ca="1">IF(OR(A26="",B26="",B26="N/A"),"",IF(B26=1,-'Cash Flow Analysis'!G77,IF(B26="N/A",0,G25)))</f>
        <v>137979487.64978874</v>
      </c>
      <c r="D26" s="1093">
        <f ca="1">IF(debt_period=0,
E26+F26,
IF(OR(A26="",B26="",B26="N/A"),"",IF(B26=1,((debt_interest*(1+debt_interest)^debt_period)/((1+debt_interest)^debt_period-1))*(-'Cash Flow Analysis'!G77),IF(G25=0,"",D25))))</f>
        <v>5105241.0430421829</v>
      </c>
      <c r="E26" s="1093">
        <f t="shared" ca="1" si="0"/>
        <v>5105241.0430421829</v>
      </c>
      <c r="F26" s="1093">
        <f t="shared" si="2"/>
        <v>0</v>
      </c>
      <c r="G26" s="1514">
        <f t="shared" ca="1" si="1"/>
        <v>137979487.64978874</v>
      </c>
    </row>
    <row r="27" spans="1:7" s="53" customFormat="1" ht="15" customHeight="1" x14ac:dyDescent="0.25">
      <c r="A27" s="1090">
        <f>'Cash Flow Analysis'!B78</f>
        <v>14</v>
      </c>
      <c r="B27" s="1513">
        <f>IF(B26="","",IF('Cash Flow Analysis'!$B$31=0,"N/A",IF(A27=1,1,IF(A26=debt_period,"",B26+1))))</f>
        <v>14</v>
      </c>
      <c r="C27" s="1093">
        <f ca="1">IF(OR(A27="",B27="",B27="N/A"),"",IF(B27=1,-'Cash Flow Analysis'!G78,IF(B27="N/A",0,G26)))</f>
        <v>137979487.64978874</v>
      </c>
      <c r="D27" s="1093">
        <f ca="1">IF(debt_period=0,
E27+F27,
IF(OR(A27="",B27="",B27="N/A"),"",IF(B27=1,((debt_interest*(1+debt_interest)^debt_period)/((1+debt_interest)^debt_period-1))*(-'Cash Flow Analysis'!G78),IF(G26=0,"",D26))))</f>
        <v>5105241.0430421829</v>
      </c>
      <c r="E27" s="1093">
        <f t="shared" ca="1" si="0"/>
        <v>5105241.0430421829</v>
      </c>
      <c r="F27" s="1093">
        <f t="shared" si="2"/>
        <v>0</v>
      </c>
      <c r="G27" s="1514">
        <f t="shared" ca="1" si="1"/>
        <v>137979487.64978874</v>
      </c>
    </row>
    <row r="28" spans="1:7" s="53" customFormat="1" ht="15" customHeight="1" x14ac:dyDescent="0.25">
      <c r="A28" s="1090">
        <f>'Cash Flow Analysis'!B79</f>
        <v>15</v>
      </c>
      <c r="B28" s="1513">
        <f>IF(B27="","",IF('Cash Flow Analysis'!$B$31=0,"N/A",IF(A28=1,1,IF(A27=debt_period,"",B27+1))))</f>
        <v>15</v>
      </c>
      <c r="C28" s="1093">
        <f ca="1">IF(OR(A28="",B28="",B28="N/A"),"",IF(B28=1,-'Cash Flow Analysis'!G79,IF(B28="N/A",0,G27)))</f>
        <v>137979487.64978874</v>
      </c>
      <c r="D28" s="1093">
        <f ca="1">IF(debt_period=0,
E28+F28,
IF(OR(A28="",B28="",B28="N/A"),"",IF(B28=1,((debt_interest*(1+debt_interest)^debt_period)/((1+debt_interest)^debt_period-1))*(-'Cash Flow Analysis'!G79),IF(G27=0,"",D27))))</f>
        <v>5105241.0430421829</v>
      </c>
      <c r="E28" s="1093">
        <f t="shared" ca="1" si="0"/>
        <v>5105241.0430421829</v>
      </c>
      <c r="F28" s="1093">
        <f t="shared" si="2"/>
        <v>0</v>
      </c>
      <c r="G28" s="1514">
        <f t="shared" ca="1" si="1"/>
        <v>137979487.64978874</v>
      </c>
    </row>
    <row r="29" spans="1:7" s="53" customFormat="1" ht="15" customHeight="1" x14ac:dyDescent="0.25">
      <c r="A29" s="1090">
        <f>'Cash Flow Analysis'!B80</f>
        <v>16</v>
      </c>
      <c r="B29" s="1513">
        <f>IF(B28="","",IF('Cash Flow Analysis'!$B$31=0,"N/A",IF(A29=1,1,IF(A28=debt_period,"",B28+1))))</f>
        <v>16</v>
      </c>
      <c r="C29" s="1093">
        <f ca="1">IF(OR(A29="",B29="",B29="N/A"),"",IF(B29=1,-'Cash Flow Analysis'!G80,IF(B29="N/A",0,G28)))</f>
        <v>137979487.64978874</v>
      </c>
      <c r="D29" s="1093">
        <f ca="1">IF(debt_period=0,
E29+F29,
IF(OR(A29="",B29="",B29="N/A"),"",IF(B29=1,((debt_interest*(1+debt_interest)^debt_period)/((1+debt_interest)^debt_period-1))*(-'Cash Flow Analysis'!G80),IF(G28=0,"",D28))))</f>
        <v>5105241.0430421829</v>
      </c>
      <c r="E29" s="1093">
        <f t="shared" ca="1" si="0"/>
        <v>5105241.0430421829</v>
      </c>
      <c r="F29" s="1093">
        <f t="shared" si="2"/>
        <v>0</v>
      </c>
      <c r="G29" s="1514">
        <f t="shared" ca="1" si="1"/>
        <v>137979487.64978874</v>
      </c>
    </row>
    <row r="30" spans="1:7" s="53" customFormat="1" ht="15" customHeight="1" x14ac:dyDescent="0.25">
      <c r="A30" s="1090">
        <f>'Cash Flow Analysis'!B81</f>
        <v>17</v>
      </c>
      <c r="B30" s="1513">
        <f>IF(B29="","",IF('Cash Flow Analysis'!$B$31=0,"N/A",IF(A30=1,1,IF(A29=debt_period,"",B29+1))))</f>
        <v>17</v>
      </c>
      <c r="C30" s="1093">
        <f ca="1">IF(OR(A30="",B30="",B30="N/A"),"",IF(B30=1,-'Cash Flow Analysis'!G81,IF(B30="N/A",0,G29)))</f>
        <v>137979487.64978874</v>
      </c>
      <c r="D30" s="1093">
        <f ca="1">IF(debt_period=0,
E30+F30,
IF(OR(A30="",B30="",B30="N/A"),"",IF(B30=1,((debt_interest*(1+debt_interest)^debt_period)/((1+debt_interest)^debt_period-1))*(-'Cash Flow Analysis'!G81),IF(G29=0,"",D29))))</f>
        <v>5105241.0430421829</v>
      </c>
      <c r="E30" s="1093">
        <f t="shared" ca="1" si="0"/>
        <v>5105241.0430421829</v>
      </c>
      <c r="F30" s="1093">
        <f t="shared" si="2"/>
        <v>0</v>
      </c>
      <c r="G30" s="1514">
        <f t="shared" ca="1" si="1"/>
        <v>137979487.64978874</v>
      </c>
    </row>
    <row r="31" spans="1:7" s="53" customFormat="1" ht="15" customHeight="1" x14ac:dyDescent="0.25">
      <c r="A31" s="1090">
        <f>'Cash Flow Analysis'!B82</f>
        <v>18</v>
      </c>
      <c r="B31" s="1513">
        <f>IF(B30="","",IF('Cash Flow Analysis'!$B$31=0,"N/A",IF(A31=1,1,IF(A30=debt_period,"",B30+1))))</f>
        <v>18</v>
      </c>
      <c r="C31" s="1093">
        <f ca="1">IF(OR(A31="",B31="",B31="N/A"),"",IF(B31=1,-'Cash Flow Analysis'!G82,IF(B31="N/A",0,G30)))</f>
        <v>137979487.64978874</v>
      </c>
      <c r="D31" s="1093">
        <f ca="1">IF(debt_period=0,
E31+F31,
IF(OR(A31="",B31="",B31="N/A"),"",IF(B31=1,((debt_interest*(1+debt_interest)^debt_period)/((1+debt_interest)^debt_period-1))*(-'Cash Flow Analysis'!G82),IF(G30=0,"",D30))))</f>
        <v>5105241.0430421829</v>
      </c>
      <c r="E31" s="1093">
        <f t="shared" ca="1" si="0"/>
        <v>5105241.0430421829</v>
      </c>
      <c r="F31" s="1093">
        <f t="shared" si="2"/>
        <v>0</v>
      </c>
      <c r="G31" s="1514">
        <f t="shared" ca="1" si="1"/>
        <v>137979487.64978874</v>
      </c>
    </row>
    <row r="32" spans="1:7" s="53" customFormat="1" ht="15" customHeight="1" x14ac:dyDescent="0.25">
      <c r="A32" s="1090">
        <f>'Cash Flow Analysis'!B83</f>
        <v>19</v>
      </c>
      <c r="B32" s="1513">
        <f>IF(B31="","",IF('Cash Flow Analysis'!$B$31=0,"N/A",IF(A32=1,1,IF(A31=debt_period,"",B31+1))))</f>
        <v>19</v>
      </c>
      <c r="C32" s="1093">
        <f ca="1">IF(OR(A32="",B32="",B32="N/A"),"",IF(B32=1,-'Cash Flow Analysis'!G83,IF(B32="N/A",0,G31)))</f>
        <v>137979487.64978874</v>
      </c>
      <c r="D32" s="1093">
        <f ca="1">IF(debt_period=0,
E32+F32,
IF(OR(A32="",B32="",B32="N/A"),"",IF(B32=1,((debt_interest*(1+debt_interest)^debt_period)/((1+debt_interest)^debt_period-1))*(-'Cash Flow Analysis'!G83),IF(G31=0,"",D31))))</f>
        <v>5105241.0430421829</v>
      </c>
      <c r="E32" s="1093">
        <f t="shared" ca="1" si="0"/>
        <v>5105241.0430421829</v>
      </c>
      <c r="F32" s="1093">
        <f t="shared" si="2"/>
        <v>0</v>
      </c>
      <c r="G32" s="1514">
        <f t="shared" ca="1" si="1"/>
        <v>137979487.64978874</v>
      </c>
    </row>
    <row r="33" spans="1:7" s="53" customFormat="1" ht="15" customHeight="1" x14ac:dyDescent="0.25">
      <c r="A33" s="1090">
        <f>'Cash Flow Analysis'!B84</f>
        <v>20</v>
      </c>
      <c r="B33" s="1513">
        <f>IF(B32="","",IF('Cash Flow Analysis'!$B$31=0,"N/A",IF(A33=1,1,IF(A32=debt_period,"",B32+1))))</f>
        <v>20</v>
      </c>
      <c r="C33" s="1093">
        <f ca="1">IF(OR(A33="",B33="",B33="N/A"),"",IF(B33=1,-'Cash Flow Analysis'!G84,IF(B33="N/A",0,G32)))</f>
        <v>137979487.64978874</v>
      </c>
      <c r="D33" s="1093">
        <f ca="1">IF(debt_period=0,
E33+F33,
IF(OR(A33="",B33="",B33="N/A"),"",IF(B33=1,((debt_interest*(1+debt_interest)^debt_period)/((1+debt_interest)^debt_period-1))*(-'Cash Flow Analysis'!G84),IF(G32=0,"",D32))))</f>
        <v>5105241.0430421829</v>
      </c>
      <c r="E33" s="1093">
        <f t="shared" ca="1" si="0"/>
        <v>5105241.0430421829</v>
      </c>
      <c r="F33" s="1093">
        <f t="shared" si="2"/>
        <v>0</v>
      </c>
      <c r="G33" s="1514">
        <f t="shared" ca="1" si="1"/>
        <v>137979487.64978874</v>
      </c>
    </row>
    <row r="34" spans="1:7" s="53" customFormat="1" ht="15" customHeight="1" x14ac:dyDescent="0.25">
      <c r="A34" s="1090">
        <f>'Cash Flow Analysis'!B85</f>
        <v>21</v>
      </c>
      <c r="B34" s="1513">
        <f>IF(B33="","",IF('Cash Flow Analysis'!$B$31=0,"N/A",IF(A34=1,1,IF(A33=debt_period,"",B33+1))))</f>
        <v>21</v>
      </c>
      <c r="C34" s="1093">
        <f ca="1">IF(OR(A34="",B34="",B34="N/A"),"",IF(B34=1,-'Cash Flow Analysis'!G85,IF(B34="N/A",0,G33)))</f>
        <v>137979487.64978874</v>
      </c>
      <c r="D34" s="1093">
        <f ca="1">IF(debt_period=0,
E34+F34,
IF(OR(A34="",B34="",B34="N/A"),"",IF(B34=1,((debt_interest*(1+debt_interest)^debt_period)/((1+debt_interest)^debt_period-1))*(-'Cash Flow Analysis'!G85),IF(G33=0,"",D33))))</f>
        <v>5105241.0430421829</v>
      </c>
      <c r="E34" s="1093">
        <f t="shared" ca="1" si="0"/>
        <v>5105241.0430421829</v>
      </c>
      <c r="F34" s="1093">
        <f t="shared" si="2"/>
        <v>0</v>
      </c>
      <c r="G34" s="1514">
        <f t="shared" ca="1" si="1"/>
        <v>137979487.64978874</v>
      </c>
    </row>
    <row r="35" spans="1:7" s="53" customFormat="1" ht="15" customHeight="1" x14ac:dyDescent="0.25">
      <c r="A35" s="1090">
        <f>'Cash Flow Analysis'!B86</f>
        <v>22</v>
      </c>
      <c r="B35" s="1513">
        <f>IF(B34="","",IF('Cash Flow Analysis'!$B$31=0,"N/A",IF(A35=1,1,IF(A34=debt_period,"",B34+1))))</f>
        <v>22</v>
      </c>
      <c r="C35" s="1093">
        <f ca="1">IF(OR(A35="",B35="",B35="N/A"),"",IF(B35=1,-'Cash Flow Analysis'!G86,IF(B35="N/A",0,G34)))</f>
        <v>137979487.64978874</v>
      </c>
      <c r="D35" s="1093">
        <f ca="1">IF(debt_period=0,
E35+F35,
IF(OR(A35="",B35="",B35="N/A"),"",IF(B35=1,((debt_interest*(1+debt_interest)^debt_period)/((1+debt_interest)^debt_period-1))*(-'Cash Flow Analysis'!G86),IF(G34=0,"",D34))))</f>
        <v>5105241.0430421829</v>
      </c>
      <c r="E35" s="1093">
        <f t="shared" ca="1" si="0"/>
        <v>5105241.0430421829</v>
      </c>
      <c r="F35" s="1093">
        <f t="shared" si="2"/>
        <v>0</v>
      </c>
      <c r="G35" s="1514">
        <f t="shared" ca="1" si="1"/>
        <v>137979487.64978874</v>
      </c>
    </row>
    <row r="36" spans="1:7" s="53" customFormat="1" ht="15" customHeight="1" x14ac:dyDescent="0.25">
      <c r="A36" s="1090">
        <f>'Cash Flow Analysis'!B87</f>
        <v>23</v>
      </c>
      <c r="B36" s="1513">
        <f>IF(B35="","",IF('Cash Flow Analysis'!$B$31=0,"N/A",IF(A36=1,1,IF(A35=debt_period,"",B35+1))))</f>
        <v>23</v>
      </c>
      <c r="C36" s="1093">
        <f ca="1">IF(OR(A36="",B36="",B36="N/A"),"",IF(B36=1,-'Cash Flow Analysis'!G87,IF(B36="N/A",0,G35)))</f>
        <v>137979487.64978874</v>
      </c>
      <c r="D36" s="1093">
        <f ca="1">IF(debt_period=0,
E36+F36,
IF(OR(A36="",B36="",B36="N/A"),"",IF(B36=1,((debt_interest*(1+debt_interest)^debt_period)/((1+debt_interest)^debt_period-1))*(-'Cash Flow Analysis'!G87),IF(G35=0,"",D35))))</f>
        <v>5105241.0430421829</v>
      </c>
      <c r="E36" s="1093">
        <f t="shared" ca="1" si="0"/>
        <v>5105241.0430421829</v>
      </c>
      <c r="F36" s="1093">
        <f t="shared" si="2"/>
        <v>0</v>
      </c>
      <c r="G36" s="1514">
        <f t="shared" ca="1" si="1"/>
        <v>137979487.64978874</v>
      </c>
    </row>
    <row r="37" spans="1:7" s="53" customFormat="1" ht="15" customHeight="1" x14ac:dyDescent="0.25">
      <c r="A37" s="1090">
        <f>'Cash Flow Analysis'!B88</f>
        <v>24</v>
      </c>
      <c r="B37" s="1513">
        <f>IF(B36="","",IF('Cash Flow Analysis'!$B$31=0,"N/A",IF(A37=1,1,IF(A36=debt_period,"",B36+1))))</f>
        <v>24</v>
      </c>
      <c r="C37" s="1093">
        <f ca="1">IF(OR(A37="",B37="",B37="N/A"),"",IF(B37=1,-'Cash Flow Analysis'!G88,IF(B37="N/A",0,G36)))</f>
        <v>137979487.64978874</v>
      </c>
      <c r="D37" s="1093">
        <f ca="1">IF(debt_period=0,
E37+F37,
IF(OR(A37="",B37="",B37="N/A"),"",IF(B37=1,((debt_interest*(1+debt_interest)^debt_period)/((1+debt_interest)^debt_period-1))*(-'Cash Flow Analysis'!G88),IF(G36=0,"",D36))))</f>
        <v>5105241.0430421829</v>
      </c>
      <c r="E37" s="1093">
        <f t="shared" ca="1" si="0"/>
        <v>5105241.0430421829</v>
      </c>
      <c r="F37" s="1093">
        <f t="shared" si="2"/>
        <v>0</v>
      </c>
      <c r="G37" s="1514">
        <f t="shared" ca="1" si="1"/>
        <v>137979487.64978874</v>
      </c>
    </row>
    <row r="38" spans="1:7" s="53" customFormat="1" ht="15" customHeight="1" x14ac:dyDescent="0.25">
      <c r="A38" s="1090">
        <f>'Cash Flow Analysis'!B89</f>
        <v>25</v>
      </c>
      <c r="B38" s="1513">
        <f>IF(B37="","",IF('Cash Flow Analysis'!$B$31=0,"N/A",IF(A38=1,1,IF(A37=debt_period,"",B37+1))))</f>
        <v>25</v>
      </c>
      <c r="C38" s="1093">
        <f ca="1">IF(OR(A38="",B38="",B38="N/A"),"",IF(B38=1,-'Cash Flow Analysis'!G89,IF(B38="N/A",0,G37)))</f>
        <v>137979487.64978874</v>
      </c>
      <c r="D38" s="1093">
        <f ca="1">IF(debt_period=0,
E38+F38,
IF(OR(A38="",B38="",B38="N/A"),"",IF(B38=1,((debt_interest*(1+debt_interest)^debt_period)/((1+debt_interest)^debt_period-1))*(-'Cash Flow Analysis'!G89),IF(G37=0,"",D37))))</f>
        <v>5105241.0430421829</v>
      </c>
      <c r="E38" s="1093">
        <f t="shared" ca="1" si="0"/>
        <v>5105241.0430421829</v>
      </c>
      <c r="F38" s="1093">
        <f t="shared" si="2"/>
        <v>0</v>
      </c>
      <c r="G38" s="1514">
        <f t="shared" ca="1" si="1"/>
        <v>137979487.64978874</v>
      </c>
    </row>
    <row r="39" spans="1:7" s="53" customFormat="1" ht="15" customHeight="1" x14ac:dyDescent="0.25">
      <c r="A39" s="1090">
        <f>'Cash Flow Analysis'!B90</f>
        <v>26</v>
      </c>
      <c r="B39" s="1513">
        <f>IF(B38="","",IF('Cash Flow Analysis'!$B$31=0,"N/A",IF(A39=1,1,IF(A38=debt_period,"",B38+1))))</f>
        <v>26</v>
      </c>
      <c r="C39" s="1093">
        <f ca="1">IF(OR(A39="",B39="",B39="N/A"),"",IF(B39=1,-'Cash Flow Analysis'!G90,IF(B39="N/A",0,G38)))</f>
        <v>137979487.64978874</v>
      </c>
      <c r="D39" s="1093">
        <f ca="1">IF(debt_period=0,
E39+F39,
IF(OR(A39="",B39="",B39="N/A"),"",IF(B39=1,((debt_interest*(1+debt_interest)^debt_period)/((1+debt_interest)^debt_period-1))*(-'Cash Flow Analysis'!G90),IF(G38=0,"",D38))))</f>
        <v>5105241.0430421829</v>
      </c>
      <c r="E39" s="1093">
        <f t="shared" ca="1" si="0"/>
        <v>5105241.0430421829</v>
      </c>
      <c r="F39" s="1093">
        <f t="shared" si="2"/>
        <v>0</v>
      </c>
      <c r="G39" s="1514">
        <f t="shared" ca="1" si="1"/>
        <v>137979487.64978874</v>
      </c>
    </row>
    <row r="40" spans="1:7" s="53" customFormat="1" ht="15" customHeight="1" x14ac:dyDescent="0.25">
      <c r="A40" s="1090">
        <f>'Cash Flow Analysis'!B91</f>
        <v>27</v>
      </c>
      <c r="B40" s="1513">
        <f>IF(B39="","",IF('Cash Flow Analysis'!$B$31=0,"N/A",IF(A40=1,1,IF(A39=debt_period,"",B39+1))))</f>
        <v>27</v>
      </c>
      <c r="C40" s="1093">
        <f ca="1">IF(OR(A40="",B40="",B40="N/A"),"",IF(B40=1,-'Cash Flow Analysis'!G91,IF(B40="N/A",0,G39)))</f>
        <v>137979487.64978874</v>
      </c>
      <c r="D40" s="1093">
        <f ca="1">IF(debt_period=0,
E40+F40,
IF(OR(A40="",B40="",B40="N/A"),"",IF(B40=1,((debt_interest*(1+debt_interest)^debt_period)/((1+debt_interest)^debt_period-1))*(-'Cash Flow Analysis'!G91),IF(G39=0,"",D39))))</f>
        <v>5105241.0430421829</v>
      </c>
      <c r="E40" s="1093">
        <f t="shared" ca="1" si="0"/>
        <v>5105241.0430421829</v>
      </c>
      <c r="F40" s="1093">
        <f t="shared" si="2"/>
        <v>0</v>
      </c>
      <c r="G40" s="1514">
        <f t="shared" ca="1" si="1"/>
        <v>137979487.64978874</v>
      </c>
    </row>
    <row r="41" spans="1:7" s="53" customFormat="1" ht="15" customHeight="1" x14ac:dyDescent="0.25">
      <c r="A41" s="1090">
        <f>'Cash Flow Analysis'!B92</f>
        <v>28</v>
      </c>
      <c r="B41" s="1513">
        <f>IF(B40="","",IF('Cash Flow Analysis'!$B$31=0,"N/A",IF(A41=1,1,IF(A40=debt_period,"",B40+1))))</f>
        <v>28</v>
      </c>
      <c r="C41" s="1093">
        <f ca="1">IF(OR(A41="",B41="",B41="N/A"),"",IF(B41=1,-'Cash Flow Analysis'!G92,IF(B41="N/A",0,G40)))</f>
        <v>137979487.64978874</v>
      </c>
      <c r="D41" s="1093">
        <f ca="1">IF(debt_period=0,
E41+F41,
IF(OR(A41="",B41="",B41="N/A"),"",IF(B41=1,((debt_interest*(1+debt_interest)^debt_period)/((1+debt_interest)^debt_period-1))*(-'Cash Flow Analysis'!G92),IF(G40=0,"",D40))))</f>
        <v>5105241.0430421829</v>
      </c>
      <c r="E41" s="1093">
        <f t="shared" ca="1" si="0"/>
        <v>5105241.0430421829</v>
      </c>
      <c r="F41" s="1093">
        <f t="shared" si="2"/>
        <v>0</v>
      </c>
      <c r="G41" s="1514">
        <f t="shared" ca="1" si="1"/>
        <v>137979487.64978874</v>
      </c>
    </row>
    <row r="42" spans="1:7" s="53" customFormat="1" ht="15" customHeight="1" x14ac:dyDescent="0.25">
      <c r="A42" s="1090">
        <f>'Cash Flow Analysis'!B93</f>
        <v>29</v>
      </c>
      <c r="B42" s="1513">
        <f>IF(B41="","",IF('Cash Flow Analysis'!$B$31=0,"N/A",IF(A42=1,1,IF(A41=debt_period,"",B41+1))))</f>
        <v>29</v>
      </c>
      <c r="C42" s="1093">
        <f ca="1">IF(OR(A42="",B42="",B42="N/A"),"",IF(B42=1,-'Cash Flow Analysis'!G93,IF(B42="N/A",0,G41)))</f>
        <v>137979487.64978874</v>
      </c>
      <c r="D42" s="1093">
        <f ca="1">IF(debt_period=0,
E42+F42,
IF(OR(A42="",B42="",B42="N/A"),"",IF(B42=1,((debt_interest*(1+debt_interest)^debt_period)/((1+debt_interest)^debt_period-1))*(-'Cash Flow Analysis'!G93),IF(G41=0,"",D41))))</f>
        <v>5105241.0430421829</v>
      </c>
      <c r="E42" s="1093">
        <f t="shared" ca="1" si="0"/>
        <v>5105241.0430421829</v>
      </c>
      <c r="F42" s="1093">
        <f t="shared" si="2"/>
        <v>0</v>
      </c>
      <c r="G42" s="1514">
        <f t="shared" ca="1" si="1"/>
        <v>137979487.64978874</v>
      </c>
    </row>
    <row r="43" spans="1:7" s="53" customFormat="1" ht="15" customHeight="1" x14ac:dyDescent="0.25">
      <c r="A43" s="1090">
        <f>'Cash Flow Analysis'!B94</f>
        <v>30</v>
      </c>
      <c r="B43" s="1513">
        <f>IF(B42="","",IF('Cash Flow Analysis'!$B$31=0,"N/A",IF(A43=1,1,IF(A42=debt_period,"",B42+1))))</f>
        <v>30</v>
      </c>
      <c r="C43" s="1093">
        <f ca="1">IF(OR(A43="",B43="",B43="N/A"),"",IF(B43=1,-'Cash Flow Analysis'!G94,IF(B43="N/A",0,G42)))</f>
        <v>137979487.64978874</v>
      </c>
      <c r="D43" s="1093">
        <f ca="1">IF(debt_period=0,
E43+F43,
IF(OR(A43="",B43="",B43="N/A"),"",IF(B43=1,((debt_interest*(1+debt_interest)^debt_period)/((1+debt_interest)^debt_period-1))*(-'Cash Flow Analysis'!G94),IF(G42=0,"",D42))))</f>
        <v>5105241.0430421829</v>
      </c>
      <c r="E43" s="1093">
        <f t="shared" ca="1" si="0"/>
        <v>5105241.0430421829</v>
      </c>
      <c r="F43" s="1093">
        <f t="shared" si="2"/>
        <v>0</v>
      </c>
      <c r="G43" s="1514">
        <f t="shared" ca="1" si="1"/>
        <v>137979487.64978874</v>
      </c>
    </row>
    <row r="44" spans="1:7" s="53" customFormat="1" ht="15" customHeight="1" x14ac:dyDescent="0.25">
      <c r="A44" s="1090">
        <f>'Cash Flow Analysis'!B95</f>
        <v>31</v>
      </c>
      <c r="B44" s="1513">
        <f>IF(B43="","",IF('Cash Flow Analysis'!$B$31=0,"N/A",IF(A44=1,1,IF(A43=debt_period,"",B43+1))))</f>
        <v>31</v>
      </c>
      <c r="C44" s="1093">
        <f ca="1">IF(OR(A44="",B44="",B44="N/A"),"",IF(B44=1,-'Cash Flow Analysis'!G95,IF(B44="N/A",0,G43)))</f>
        <v>137979487.64978874</v>
      </c>
      <c r="D44" s="1093">
        <f ca="1">IF(debt_period=0,
E44+F44,
IF(OR(A44="",B44="",B44="N/A"),"",IF(B44=1,((debt_interest*(1+debt_interest)^debt_period)/((1+debt_interest)^debt_period-1))*(-'Cash Flow Analysis'!G95),IF(G43=0,"",D43))))</f>
        <v>5105241.0430421829</v>
      </c>
      <c r="E44" s="1093">
        <f t="shared" ca="1" si="0"/>
        <v>5105241.0430421829</v>
      </c>
      <c r="F44" s="1093">
        <f t="shared" si="2"/>
        <v>0</v>
      </c>
      <c r="G44" s="1514">
        <f t="shared" ca="1" si="1"/>
        <v>137979487.64978874</v>
      </c>
    </row>
    <row r="45" spans="1:7" s="53" customFormat="1" ht="15" customHeight="1" x14ac:dyDescent="0.25">
      <c r="A45" s="1090">
        <f>'Cash Flow Analysis'!B96</f>
        <v>32</v>
      </c>
      <c r="B45" s="1513">
        <f>IF(B44="","",IF('Cash Flow Analysis'!$B$31=0,"N/A",IF(A45=1,1,IF(A44=debt_period,"",B44+1))))</f>
        <v>32</v>
      </c>
      <c r="C45" s="1093">
        <f ca="1">IF(OR(A45="",B45="",B45="N/A"),"",IF(B45=1,-'Cash Flow Analysis'!G96,IF(B45="N/A",0,G44)))</f>
        <v>137979487.64978874</v>
      </c>
      <c r="D45" s="1093">
        <f ca="1">IF(debt_period=0,
E45+F45,
IF(OR(A45="",B45="",B45="N/A"),"",IF(B45=1,((debt_interest*(1+debt_interest)^debt_period)/((1+debt_interest)^debt_period-1))*(-'Cash Flow Analysis'!G96),IF(G44=0,"",D44))))</f>
        <v>5105241.0430421829</v>
      </c>
      <c r="E45" s="1093">
        <f t="shared" ca="1" si="0"/>
        <v>5105241.0430421829</v>
      </c>
      <c r="F45" s="1093">
        <f t="shared" si="2"/>
        <v>0</v>
      </c>
      <c r="G45" s="1514">
        <f t="shared" ca="1" si="1"/>
        <v>137979487.64978874</v>
      </c>
    </row>
    <row r="46" spans="1:7" s="53" customFormat="1" ht="15" customHeight="1" x14ac:dyDescent="0.25">
      <c r="A46" s="1090">
        <f>'Cash Flow Analysis'!B97</f>
        <v>33</v>
      </c>
      <c r="B46" s="1513">
        <f>IF(B45="","",IF('Cash Flow Analysis'!$B$31=0,"N/A",IF(A46=1,1,IF(A45=debt_period,"",B45+1))))</f>
        <v>33</v>
      </c>
      <c r="C46" s="1093">
        <f ca="1">IF(OR(A46="",B46="",B46="N/A"),"",IF(B46=1,-'Cash Flow Analysis'!G97,IF(B46="N/A",0,G45)))</f>
        <v>137979487.64978874</v>
      </c>
      <c r="D46" s="1093">
        <f ca="1">IF(debt_period=0,
E46+F46,
IF(OR(A46="",B46="",B46="N/A"),"",IF(B46=1,((debt_interest*(1+debt_interest)^debt_period)/((1+debt_interest)^debt_period-1))*(-'Cash Flow Analysis'!G97),IF(G45=0,"",D45))))</f>
        <v>5105241.0430421829</v>
      </c>
      <c r="E46" s="1093">
        <f t="shared" ca="1" si="0"/>
        <v>5105241.0430421829</v>
      </c>
      <c r="F46" s="1093">
        <f t="shared" si="2"/>
        <v>0</v>
      </c>
      <c r="G46" s="1514">
        <f t="shared" ca="1" si="1"/>
        <v>137979487.64978874</v>
      </c>
    </row>
    <row r="47" spans="1:7" s="53" customFormat="1" ht="15" customHeight="1" x14ac:dyDescent="0.25">
      <c r="A47" s="1090">
        <f>'Cash Flow Analysis'!B98</f>
        <v>34</v>
      </c>
      <c r="B47" s="1513">
        <f>IF(B46="","",IF('Cash Flow Analysis'!$B$31=0,"N/A",IF(A47=1,1,IF(A46=debt_period,"",B46+1))))</f>
        <v>34</v>
      </c>
      <c r="C47" s="1093">
        <f ca="1">IF(OR(A47="",B47="",B47="N/A"),"",IF(B47=1,-'Cash Flow Analysis'!G98,IF(B47="N/A",0,G46)))</f>
        <v>137979487.64978874</v>
      </c>
      <c r="D47" s="1093">
        <f ca="1">IF(debt_period=0,
E47+F47,
IF(OR(A47="",B47="",B47="N/A"),"",IF(B47=1,((debt_interest*(1+debt_interest)^debt_period)/((1+debt_interest)^debt_period-1))*(-'Cash Flow Analysis'!G98),IF(G46=0,"",D46))))</f>
        <v>5105241.0430421829</v>
      </c>
      <c r="E47" s="1093">
        <f t="shared" ca="1" si="0"/>
        <v>5105241.0430421829</v>
      </c>
      <c r="F47" s="1093">
        <f t="shared" si="2"/>
        <v>0</v>
      </c>
      <c r="G47" s="1514">
        <f t="shared" ca="1" si="1"/>
        <v>137979487.64978874</v>
      </c>
    </row>
    <row r="48" spans="1:7" s="53" customFormat="1" ht="15" customHeight="1" x14ac:dyDescent="0.25">
      <c r="A48" s="1090">
        <f>'Cash Flow Analysis'!B99</f>
        <v>35</v>
      </c>
      <c r="B48" s="1513">
        <f>IF(B47="","",IF('Cash Flow Analysis'!$B$31=0,"N/A",IF(A48=1,1,IF(A47=debt_period,"",B47+1))))</f>
        <v>35</v>
      </c>
      <c r="C48" s="1093">
        <f ca="1">IF(OR(A48="",B48="",B48="N/A"),"",IF(B48=1,-'Cash Flow Analysis'!G99,IF(B48="N/A",0,G47)))</f>
        <v>137979487.64978874</v>
      </c>
      <c r="D48" s="1093">
        <f ca="1">IF(debt_period=0,
E48+F48,
IF(OR(A48="",B48="",B48="N/A"),"",IF(B48=1,((debt_interest*(1+debt_interest)^debt_period)/((1+debt_interest)^debt_period-1))*(-'Cash Flow Analysis'!G99),IF(G47=0,"",D47))))</f>
        <v>5105241.0430421829</v>
      </c>
      <c r="E48" s="1093">
        <f t="shared" ca="1" si="0"/>
        <v>5105241.0430421829</v>
      </c>
      <c r="F48" s="1093">
        <f t="shared" si="2"/>
        <v>0</v>
      </c>
      <c r="G48" s="1514">
        <f t="shared" ca="1" si="1"/>
        <v>137979487.64978874</v>
      </c>
    </row>
    <row r="49" spans="1:7" s="53" customFormat="1" ht="15" customHeight="1" x14ac:dyDescent="0.25">
      <c r="A49" s="1090">
        <f>'Cash Flow Analysis'!B100</f>
        <v>36</v>
      </c>
      <c r="B49" s="1513">
        <f>IF(B48="","",IF('Cash Flow Analysis'!$B$31=0,"N/A",IF(A49=1,1,IF(A48=debt_period,"",B48+1))))</f>
        <v>36</v>
      </c>
      <c r="C49" s="1093">
        <f ca="1">IF(OR(A49="",B49="",B49="N/A"),"",IF(B49=1,-'Cash Flow Analysis'!G100,IF(B49="N/A",0,G48)))</f>
        <v>137979487.64978874</v>
      </c>
      <c r="D49" s="1093">
        <f ca="1">IF(debt_period=0,
E49+F49,
IF(OR(A49="",B49="",B49="N/A"),"",IF(B49=1,((debt_interest*(1+debt_interest)^debt_period)/((1+debt_interest)^debt_period-1))*(-'Cash Flow Analysis'!G100),IF(G48=0,"",D48))))</f>
        <v>5105241.0430421829</v>
      </c>
      <c r="E49" s="1093">
        <f t="shared" ca="1" si="0"/>
        <v>5105241.0430421829</v>
      </c>
      <c r="F49" s="1093">
        <f t="shared" si="2"/>
        <v>0</v>
      </c>
      <c r="G49" s="1514">
        <f t="shared" ca="1" si="1"/>
        <v>137979487.64978874</v>
      </c>
    </row>
    <row r="50" spans="1:7" s="53" customFormat="1" ht="15" customHeight="1" x14ac:dyDescent="0.25">
      <c r="A50" s="1090">
        <f>'Cash Flow Analysis'!B101</f>
        <v>37</v>
      </c>
      <c r="B50" s="1513">
        <f>IF(B49="","",IF('Cash Flow Analysis'!$B$31=0,"N/A",IF(A50=1,1,IF(A49=debt_period,"",B49+1))))</f>
        <v>37</v>
      </c>
      <c r="C50" s="1093">
        <f ca="1">IF(OR(A50="",B50="",B50="N/A"),"",IF(B50=1,-'Cash Flow Analysis'!G101,IF(B50="N/A",0,G49)))</f>
        <v>137979487.64978874</v>
      </c>
      <c r="D50" s="1093">
        <f ca="1">IF(debt_period=0,
E50+F50,
IF(OR(A50="",B50="",B50="N/A"),"",IF(B50=1,((debt_interest*(1+debt_interest)^debt_period)/((1+debt_interest)^debt_period-1))*(-'Cash Flow Analysis'!G101),IF(G49=0,"",D49))))</f>
        <v>5105241.0430421829</v>
      </c>
      <c r="E50" s="1093">
        <f t="shared" ca="1" si="0"/>
        <v>5105241.0430421829</v>
      </c>
      <c r="F50" s="1093">
        <f t="shared" si="2"/>
        <v>0</v>
      </c>
      <c r="G50" s="1514">
        <f t="shared" ca="1" si="1"/>
        <v>137979487.64978874</v>
      </c>
    </row>
    <row r="51" spans="1:7" s="53" customFormat="1" ht="15" customHeight="1" x14ac:dyDescent="0.25">
      <c r="A51" s="1090">
        <f>'Cash Flow Analysis'!B102</f>
        <v>38</v>
      </c>
      <c r="B51" s="1513">
        <f>IF(B50="","",IF('Cash Flow Analysis'!$B$31=0,"N/A",IF(A51=1,1,IF(A50=debt_period,"",B50+1))))</f>
        <v>38</v>
      </c>
      <c r="C51" s="1093">
        <f ca="1">IF(OR(A51="",B51="",B51="N/A"),"",IF(B51=1,-'Cash Flow Analysis'!G102,IF(B51="N/A",0,G50)))</f>
        <v>137979487.64978874</v>
      </c>
      <c r="D51" s="1093">
        <f ca="1">IF(debt_period=0,
E51+F51,
IF(OR(A51="",B51="",B51="N/A"),"",IF(B51=1,((debt_interest*(1+debt_interest)^debt_period)/((1+debt_interest)^debt_period-1))*(-'Cash Flow Analysis'!G102),IF(G50=0,"",D50))))</f>
        <v>5105241.0430421829</v>
      </c>
      <c r="E51" s="1093">
        <f t="shared" ca="1" si="0"/>
        <v>5105241.0430421829</v>
      </c>
      <c r="F51" s="1093">
        <f t="shared" si="2"/>
        <v>0</v>
      </c>
      <c r="G51" s="1514">
        <f t="shared" ca="1" si="1"/>
        <v>137979487.64978874</v>
      </c>
    </row>
    <row r="52" spans="1:7" s="53" customFormat="1" ht="15" customHeight="1" x14ac:dyDescent="0.25">
      <c r="A52" s="1090">
        <f>'Cash Flow Analysis'!B103</f>
        <v>39</v>
      </c>
      <c r="B52" s="1513">
        <f>IF(B51="","",IF('Cash Flow Analysis'!$B$31=0,"N/A",IF(A52=1,1,IF(A51=debt_period,"",B51+1))))</f>
        <v>39</v>
      </c>
      <c r="C52" s="1093">
        <f ca="1">IF(OR(A52="",B52="",B52="N/A"),"",IF(B52=1,-'Cash Flow Analysis'!G103,IF(B52="N/A",0,G51)))</f>
        <v>137979487.64978874</v>
      </c>
      <c r="D52" s="1093">
        <f ca="1">IF(debt_period=0,
E52+F52,
IF(OR(A52="",B52="",B52="N/A"),"",IF(B52=1,((debt_interest*(1+debt_interest)^debt_period)/((1+debt_interest)^debt_period-1))*(-'Cash Flow Analysis'!G103),IF(G51=0,"",D51))))</f>
        <v>5105241.0430421829</v>
      </c>
      <c r="E52" s="1093">
        <f t="shared" ca="1" si="0"/>
        <v>5105241.0430421829</v>
      </c>
      <c r="F52" s="1093">
        <f t="shared" si="2"/>
        <v>0</v>
      </c>
      <c r="G52" s="1514">
        <f t="shared" ca="1" si="1"/>
        <v>137979487.64978874</v>
      </c>
    </row>
    <row r="53" spans="1:7" s="53" customFormat="1" ht="15" customHeight="1" x14ac:dyDescent="0.25">
      <c r="A53" s="1090">
        <f>'Cash Flow Analysis'!B104</f>
        <v>40</v>
      </c>
      <c r="B53" s="1513">
        <f>IF(B52="","",IF('Cash Flow Analysis'!$B$31=0,"N/A",IF(A53=1,1,IF(A52=debt_period,"",B52+1))))</f>
        <v>40</v>
      </c>
      <c r="C53" s="1093">
        <f ca="1">IF(OR(A53="",B53="",B53="N/A"),"",IF(B53=1,-'Cash Flow Analysis'!G104,IF(B53="N/A",0,G52)))</f>
        <v>137979487.64978874</v>
      </c>
      <c r="D53" s="1093">
        <f ca="1">IF(debt_period=0,
E53+F53,
IF(OR(A53="",B53="",B53="N/A"),"",IF(B53=1,((debt_interest*(1+debt_interest)^debt_period)/((1+debt_interest)^debt_period-1))*(-'Cash Flow Analysis'!G104),IF(G52=0,"",D52))))</f>
        <v>5105241.0430421829</v>
      </c>
      <c r="E53" s="1093">
        <f t="shared" ca="1" si="0"/>
        <v>5105241.0430421829</v>
      </c>
      <c r="F53" s="1093">
        <f t="shared" si="2"/>
        <v>0</v>
      </c>
      <c r="G53" s="1514">
        <f t="shared" ca="1" si="1"/>
        <v>137979487.64978874</v>
      </c>
    </row>
    <row r="54" spans="1:7" s="53" customFormat="1" ht="15" customHeight="1" x14ac:dyDescent="0.25">
      <c r="A54" s="1090">
        <f>'Cash Flow Analysis'!B105</f>
        <v>41</v>
      </c>
      <c r="B54" s="1513">
        <f>IF(B53="","",IF('Cash Flow Analysis'!$B$31=0,"N/A",IF(A54=1,1,IF(A53=debt_period,"",B53+1))))</f>
        <v>41</v>
      </c>
      <c r="C54" s="1093">
        <f ca="1">IF(OR(A54="",B54="",B54="N/A"),"",IF(B54=1,-'Cash Flow Analysis'!G105,IF(B54="N/A",0,G53)))</f>
        <v>137979487.64978874</v>
      </c>
      <c r="D54" s="1093">
        <f ca="1">IF(debt_period=0,
E54+F54,
IF(OR(A54="",B54="",B54="N/A"),"",IF(B54=1,((debt_interest*(1+debt_interest)^debt_period)/((1+debt_interest)^debt_period-1))*(-'Cash Flow Analysis'!G105),IF(G53=0,"",D53))))</f>
        <v>5105241.0430421829</v>
      </c>
      <c r="E54" s="1093">
        <f t="shared" ca="1" si="0"/>
        <v>5105241.0430421829</v>
      </c>
      <c r="F54" s="1093">
        <f t="shared" si="2"/>
        <v>0</v>
      </c>
      <c r="G54" s="1514">
        <f t="shared" ca="1" si="1"/>
        <v>137979487.64978874</v>
      </c>
    </row>
    <row r="55" spans="1:7" s="53" customFormat="1" ht="15" customHeight="1" x14ac:dyDescent="0.25">
      <c r="A55" s="1090">
        <f>'Cash Flow Analysis'!B106</f>
        <v>42</v>
      </c>
      <c r="B55" s="1513">
        <f>IF(B54="","",IF('Cash Flow Analysis'!$B$31=0,"N/A",IF(A55=1,1,IF(A54=debt_period,"",B54+1))))</f>
        <v>42</v>
      </c>
      <c r="C55" s="1093">
        <f ca="1">IF(OR(A55="",B55="",B55="N/A"),"",IF(B55=1,-'Cash Flow Analysis'!G106,IF(B55="N/A",0,G54)))</f>
        <v>137979487.64978874</v>
      </c>
      <c r="D55" s="1093">
        <f ca="1">IF(debt_period=0,
E55+F55,
IF(OR(A55="",B55="",B55="N/A"),"",IF(B55=1,((debt_interest*(1+debt_interest)^debt_period)/((1+debt_interest)^debt_period-1))*(-'Cash Flow Analysis'!G106),IF(G54=0,"",D54))))</f>
        <v>5105241.0430421829</v>
      </c>
      <c r="E55" s="1093">
        <f t="shared" ca="1" si="0"/>
        <v>5105241.0430421829</v>
      </c>
      <c r="F55" s="1093">
        <f t="shared" si="2"/>
        <v>0</v>
      </c>
      <c r="G55" s="1514">
        <f t="shared" ca="1" si="1"/>
        <v>137979487.64978874</v>
      </c>
    </row>
    <row r="56" spans="1:7" s="53" customFormat="1" ht="15" customHeight="1" x14ac:dyDescent="0.25">
      <c r="A56" s="1090">
        <f>'Cash Flow Analysis'!B107</f>
        <v>43</v>
      </c>
      <c r="B56" s="1513">
        <f>IF(B55="","",IF('Cash Flow Analysis'!$B$31=0,"N/A",IF(A56=1,1,IF(A55=debt_period,"",B55+1))))</f>
        <v>43</v>
      </c>
      <c r="C56" s="1093">
        <f ca="1">IF(OR(A56="",B56="",B56="N/A"),"",IF(B56=1,-'Cash Flow Analysis'!G107,IF(B56="N/A",0,G55)))</f>
        <v>137979487.64978874</v>
      </c>
      <c r="D56" s="1093">
        <f ca="1">IF(debt_period=0,
E56+F56,
IF(OR(A56="",B56="",B56="N/A"),"",IF(B56=1,((debt_interest*(1+debt_interest)^debt_period)/((1+debt_interest)^debt_period-1))*(-'Cash Flow Analysis'!G107),IF(G55=0,"",D55))))</f>
        <v>143084728.69283092</v>
      </c>
      <c r="E56" s="1093">
        <f t="shared" ca="1" si="0"/>
        <v>5105241.0430421829</v>
      </c>
      <c r="F56" s="1093">
        <f t="shared" ca="1" si="2"/>
        <v>137979487.64978874</v>
      </c>
      <c r="G56" s="1514">
        <f t="shared" ca="1" si="1"/>
        <v>0</v>
      </c>
    </row>
    <row r="57" spans="1:7" s="53" customFormat="1" ht="15" customHeight="1" thickBot="1" x14ac:dyDescent="0.3">
      <c r="A57" s="1515" t="str">
        <f>'Cash Flow Analysis'!B108</f>
        <v/>
      </c>
      <c r="B57" s="1516">
        <f>IF(B56="","",IF('Cash Flow Analysis'!$B$31=0,"N/A",IF(A57=1,1,IF(A56=debt_period,"",B56+1))))</f>
        <v>44</v>
      </c>
      <c r="C57" s="1517" t="str">
        <f>IF(OR(A57="",B57="",B57="N/A"),"",IF(B57=1,-'Cash Flow Analysis'!G108,IF(B57="N/A",0,G56)))</f>
        <v/>
      </c>
      <c r="D57" s="1517" t="str">
        <f>IF(F57=0,E57,
IF(OR(A57="",B57="",B57="N/A"),"",IF(B57=1,((debt_interest*(1+debt_interest)^debt_period)/((1+debt_interest)^debt_period-1))*(-'Cash Flow Analysis'!G108),IF(G56=0,"",D56))))</f>
        <v/>
      </c>
      <c r="E57" s="1517" t="str">
        <f t="shared" si="0"/>
        <v/>
      </c>
      <c r="F57" s="1517">
        <f t="shared" si="2"/>
        <v>0</v>
      </c>
      <c r="G57" s="1518" t="str">
        <f t="shared" si="1"/>
        <v/>
      </c>
    </row>
    <row r="58" spans="1:7" ht="13"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796875" defaultRowHeight="12.5" x14ac:dyDescent="0.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x14ac:dyDescent="0.4">
      <c r="A1" s="37" t="s">
        <v>47</v>
      </c>
    </row>
    <row r="2" spans="1:8" ht="15" customHeight="1" x14ac:dyDescent="0.25">
      <c r="G2" s="39"/>
    </row>
    <row r="3" spans="1:8" ht="15" customHeight="1" x14ac:dyDescent="0.35">
      <c r="A3" s="42" t="s">
        <v>33</v>
      </c>
      <c r="B3" s="43"/>
      <c r="C3" s="43"/>
      <c r="D3" s="43"/>
      <c r="E3" s="44"/>
      <c r="F3" s="44"/>
      <c r="G3" s="44"/>
      <c r="H3" s="39"/>
    </row>
    <row r="4" spans="1:8" ht="15" customHeight="1" x14ac:dyDescent="0.35">
      <c r="A4" s="42" t="s">
        <v>34</v>
      </c>
      <c r="B4" s="43"/>
      <c r="C4" s="43"/>
      <c r="D4" s="43"/>
      <c r="E4" s="44"/>
      <c r="F4" s="44"/>
      <c r="G4" s="44"/>
      <c r="H4" s="39"/>
    </row>
    <row r="5" spans="1:8" ht="15" customHeight="1" x14ac:dyDescent="0.25">
      <c r="G5" s="39"/>
    </row>
    <row r="6" spans="1:8" ht="15" customHeight="1" x14ac:dyDescent="0.25">
      <c r="A6" s="36"/>
      <c r="B6" s="41" t="s">
        <v>35</v>
      </c>
    </row>
    <row r="7" spans="1:8" ht="15" customHeight="1" x14ac:dyDescent="0.25">
      <c r="A7" s="46"/>
      <c r="B7" s="41" t="s">
        <v>36</v>
      </c>
    </row>
    <row r="8" spans="1:8" ht="15" customHeight="1" x14ac:dyDescent="0.25">
      <c r="A8" s="47"/>
      <c r="B8" s="41" t="s">
        <v>37</v>
      </c>
    </row>
    <row r="9" spans="1:8" ht="15" customHeight="1" x14ac:dyDescent="0.25">
      <c r="A9" s="48"/>
      <c r="B9" s="41" t="s">
        <v>38</v>
      </c>
    </row>
    <row r="10" spans="1:8" ht="15" customHeight="1" x14ac:dyDescent="0.25"/>
    <row r="11" spans="1:8" ht="15" customHeight="1" thickBot="1" x14ac:dyDescent="0.3"/>
    <row r="12" spans="1:8" ht="29.25" customHeight="1" thickTop="1" thickBot="1" x14ac:dyDescent="0.4">
      <c r="B12" s="63" t="s">
        <v>48</v>
      </c>
      <c r="C12" s="64"/>
      <c r="D12" s="64"/>
      <c r="E12" s="64"/>
      <c r="F12" s="64"/>
      <c r="G12" s="64"/>
      <c r="H12" s="65"/>
    </row>
    <row r="13" spans="1:8" ht="15" customHeight="1" thickTop="1" thickBot="1" x14ac:dyDescent="0.3">
      <c r="B13" s="66"/>
      <c r="C13" s="1711" t="s">
        <v>49</v>
      </c>
      <c r="D13" s="1711"/>
      <c r="E13" s="1711"/>
      <c r="F13" s="1711"/>
      <c r="G13" s="1711"/>
      <c r="H13" s="1712"/>
    </row>
    <row r="14" spans="1:8" ht="15" customHeight="1" thickTop="1" thickBot="1" x14ac:dyDescent="0.3">
      <c r="B14" s="69" t="s">
        <v>49</v>
      </c>
      <c r="C14" s="70">
        <v>3</v>
      </c>
      <c r="D14" s="67">
        <v>5</v>
      </c>
      <c r="E14" s="67">
        <v>7</v>
      </c>
      <c r="F14" s="67">
        <v>10</v>
      </c>
      <c r="G14" s="67">
        <v>15</v>
      </c>
      <c r="H14" s="68">
        <v>20</v>
      </c>
    </row>
    <row r="15" spans="1:8" ht="15" customHeight="1" thickTop="1" x14ac:dyDescent="0.25">
      <c r="B15" s="71">
        <v>1</v>
      </c>
      <c r="C15" s="72">
        <v>0.33329999999999999</v>
      </c>
      <c r="D15" s="73">
        <v>0.2</v>
      </c>
      <c r="E15" s="73">
        <v>0.1429</v>
      </c>
      <c r="F15" s="73">
        <v>0.1</v>
      </c>
      <c r="G15" s="73">
        <v>0.05</v>
      </c>
      <c r="H15" s="74">
        <v>3.7499999999999999E-2</v>
      </c>
    </row>
    <row r="16" spans="1:8" ht="15" customHeight="1" x14ac:dyDescent="0.25">
      <c r="B16" s="75">
        <v>2</v>
      </c>
      <c r="C16" s="76">
        <v>0.44450000000000001</v>
      </c>
      <c r="D16" s="77">
        <v>0.32</v>
      </c>
      <c r="E16" s="77">
        <v>0.24490000000000001</v>
      </c>
      <c r="F16" s="77">
        <v>0.18</v>
      </c>
      <c r="G16" s="77">
        <v>9.5000000000000001E-2</v>
      </c>
      <c r="H16" s="78">
        <v>7.2190000000000004E-2</v>
      </c>
    </row>
    <row r="17" spans="2:8" ht="15" customHeight="1" x14ac:dyDescent="0.25">
      <c r="B17" s="75">
        <v>3</v>
      </c>
      <c r="C17" s="76">
        <v>0.14810000000000001</v>
      </c>
      <c r="D17" s="77">
        <v>0.192</v>
      </c>
      <c r="E17" s="77">
        <v>0.1749</v>
      </c>
      <c r="F17" s="77">
        <v>0.14399999999999999</v>
      </c>
      <c r="G17" s="77">
        <v>8.5500000000000007E-2</v>
      </c>
      <c r="H17" s="78">
        <v>6.6769999999999996E-2</v>
      </c>
    </row>
    <row r="18" spans="2:8" ht="15" customHeight="1" x14ac:dyDescent="0.25">
      <c r="B18" s="75">
        <v>4</v>
      </c>
      <c r="C18" s="76">
        <v>7.4099999999999999E-2</v>
      </c>
      <c r="D18" s="77">
        <v>0.1152</v>
      </c>
      <c r="E18" s="77">
        <v>0.1249</v>
      </c>
      <c r="F18" s="77">
        <v>0.1152</v>
      </c>
      <c r="G18" s="77">
        <v>7.6999999999999999E-2</v>
      </c>
      <c r="H18" s="78">
        <v>6.1769999999999999E-2</v>
      </c>
    </row>
    <row r="19" spans="2:8" ht="15" customHeight="1" x14ac:dyDescent="0.25">
      <c r="B19" s="75">
        <v>5</v>
      </c>
      <c r="C19" s="76"/>
      <c r="D19" s="77">
        <v>0.1152</v>
      </c>
      <c r="E19" s="77">
        <v>8.9300000000000004E-2</v>
      </c>
      <c r="F19" s="77">
        <v>9.2200000000000004E-2</v>
      </c>
      <c r="G19" s="77">
        <v>6.93E-2</v>
      </c>
      <c r="H19" s="78">
        <v>5.713E-2</v>
      </c>
    </row>
    <row r="20" spans="2:8" ht="15" customHeight="1" x14ac:dyDescent="0.25">
      <c r="B20" s="75">
        <v>6</v>
      </c>
      <c r="C20" s="76"/>
      <c r="D20" s="77">
        <v>5.7599999999999998E-2</v>
      </c>
      <c r="E20" s="77">
        <v>8.9200000000000002E-2</v>
      </c>
      <c r="F20" s="77">
        <v>7.3700000000000002E-2</v>
      </c>
      <c r="G20" s="77">
        <v>6.2300000000000001E-2</v>
      </c>
      <c r="H20" s="78">
        <v>5.2850000000000001E-2</v>
      </c>
    </row>
    <row r="21" spans="2:8" ht="15" customHeight="1" x14ac:dyDescent="0.25">
      <c r="B21" s="75">
        <v>7</v>
      </c>
      <c r="C21" s="76"/>
      <c r="D21" s="77"/>
      <c r="E21" s="77">
        <v>8.9300000000000004E-2</v>
      </c>
      <c r="F21" s="77">
        <v>6.5500000000000003E-2</v>
      </c>
      <c r="G21" s="77">
        <v>5.8999999999999997E-2</v>
      </c>
      <c r="H21" s="78">
        <v>4.888E-2</v>
      </c>
    </row>
    <row r="22" spans="2:8" ht="15" customHeight="1" x14ac:dyDescent="0.25">
      <c r="B22" s="75">
        <v>8</v>
      </c>
      <c r="C22" s="76"/>
      <c r="D22" s="77"/>
      <c r="E22" s="77">
        <v>4.4600000000000001E-2</v>
      </c>
      <c r="F22" s="77">
        <v>6.5500000000000003E-2</v>
      </c>
      <c r="G22" s="77">
        <v>5.8999999999999997E-2</v>
      </c>
      <c r="H22" s="78">
        <v>4.5220000000000003E-2</v>
      </c>
    </row>
    <row r="23" spans="2:8" ht="15" customHeight="1" x14ac:dyDescent="0.25">
      <c r="B23" s="75">
        <v>9</v>
      </c>
      <c r="C23" s="76"/>
      <c r="D23" s="77"/>
      <c r="E23" s="77"/>
      <c r="F23" s="77">
        <v>6.5600000000000006E-2</v>
      </c>
      <c r="G23" s="77">
        <v>5.91E-2</v>
      </c>
      <c r="H23" s="78">
        <v>4.462E-2</v>
      </c>
    </row>
    <row r="24" spans="2:8" ht="15" customHeight="1" x14ac:dyDescent="0.25">
      <c r="B24" s="75">
        <v>10</v>
      </c>
      <c r="C24" s="76"/>
      <c r="D24" s="77"/>
      <c r="E24" s="77"/>
      <c r="F24" s="77">
        <v>6.5500000000000003E-2</v>
      </c>
      <c r="G24" s="77">
        <v>5.8999999999999997E-2</v>
      </c>
      <c r="H24" s="78">
        <v>4.4609999999999997E-2</v>
      </c>
    </row>
    <row r="25" spans="2:8" ht="15" customHeight="1" x14ac:dyDescent="0.25">
      <c r="B25" s="75">
        <v>11</v>
      </c>
      <c r="C25" s="76"/>
      <c r="D25" s="77"/>
      <c r="E25" s="77"/>
      <c r="F25" s="77">
        <v>3.2800000000000003E-2</v>
      </c>
      <c r="G25" s="77">
        <v>5.91E-2</v>
      </c>
      <c r="H25" s="78">
        <v>4.462E-2</v>
      </c>
    </row>
    <row r="26" spans="2:8" ht="15" customHeight="1" x14ac:dyDescent="0.25">
      <c r="B26" s="75">
        <v>12</v>
      </c>
      <c r="C26" s="76"/>
      <c r="D26" s="77"/>
      <c r="E26" s="77"/>
      <c r="F26" s="77"/>
      <c r="G26" s="77">
        <v>5.8999999999999997E-2</v>
      </c>
      <c r="H26" s="78">
        <v>4.4609999999999997E-2</v>
      </c>
    </row>
    <row r="27" spans="2:8" ht="15" customHeight="1" x14ac:dyDescent="0.25">
      <c r="B27" s="75">
        <v>13</v>
      </c>
      <c r="C27" s="76"/>
      <c r="D27" s="77"/>
      <c r="E27" s="77"/>
      <c r="F27" s="77"/>
      <c r="G27" s="77">
        <v>5.91E-2</v>
      </c>
      <c r="H27" s="78">
        <v>4.462E-2</v>
      </c>
    </row>
    <row r="28" spans="2:8" ht="15" customHeight="1" x14ac:dyDescent="0.25">
      <c r="B28" s="75">
        <v>14</v>
      </c>
      <c r="C28" s="76"/>
      <c r="D28" s="77"/>
      <c r="E28" s="77"/>
      <c r="F28" s="77"/>
      <c r="G28" s="77">
        <v>5.8999999999999997E-2</v>
      </c>
      <c r="H28" s="78">
        <v>4.4609999999999997E-2</v>
      </c>
    </row>
    <row r="29" spans="2:8" ht="15" customHeight="1" x14ac:dyDescent="0.25">
      <c r="B29" s="75">
        <v>15</v>
      </c>
      <c r="C29" s="76"/>
      <c r="D29" s="77"/>
      <c r="E29" s="77"/>
      <c r="F29" s="77"/>
      <c r="G29" s="77">
        <v>5.91E-2</v>
      </c>
      <c r="H29" s="78">
        <v>4.462E-2</v>
      </c>
    </row>
    <row r="30" spans="2:8" ht="15" customHeight="1" x14ac:dyDescent="0.25">
      <c r="B30" s="75">
        <v>16</v>
      </c>
      <c r="C30" s="76"/>
      <c r="D30" s="77"/>
      <c r="E30" s="77"/>
      <c r="F30" s="77"/>
      <c r="G30" s="77">
        <v>2.9499999999999998E-2</v>
      </c>
      <c r="H30" s="78">
        <v>4.4609999999999997E-2</v>
      </c>
    </row>
    <row r="31" spans="2:8" ht="15" customHeight="1" x14ac:dyDescent="0.25">
      <c r="B31" s="75">
        <v>17</v>
      </c>
      <c r="C31" s="76"/>
      <c r="D31" s="77"/>
      <c r="E31" s="77"/>
      <c r="F31" s="77"/>
      <c r="G31" s="77"/>
      <c r="H31" s="78">
        <v>4.462E-2</v>
      </c>
    </row>
    <row r="32" spans="2:8" ht="15" customHeight="1" x14ac:dyDescent="0.25">
      <c r="B32" s="75">
        <v>18</v>
      </c>
      <c r="C32" s="76"/>
      <c r="D32" s="77"/>
      <c r="E32" s="77"/>
      <c r="F32" s="77"/>
      <c r="G32" s="77"/>
      <c r="H32" s="78">
        <v>4.4609999999999997E-2</v>
      </c>
    </row>
    <row r="33" spans="1:24" ht="15" customHeight="1" x14ac:dyDescent="0.25">
      <c r="B33" s="75">
        <v>19</v>
      </c>
      <c r="C33" s="76"/>
      <c r="D33" s="77"/>
      <c r="E33" s="77"/>
      <c r="F33" s="77"/>
      <c r="G33" s="77"/>
      <c r="H33" s="78">
        <v>4.462E-2</v>
      </c>
    </row>
    <row r="34" spans="1:24" ht="15" customHeight="1" x14ac:dyDescent="0.25">
      <c r="B34" s="75">
        <v>20</v>
      </c>
      <c r="C34" s="76"/>
      <c r="D34" s="77"/>
      <c r="E34" s="77"/>
      <c r="F34" s="77"/>
      <c r="G34" s="77"/>
      <c r="H34" s="78">
        <v>4.4609999999999997E-2</v>
      </c>
    </row>
    <row r="35" spans="1:24" ht="15" customHeight="1" thickBot="1" x14ac:dyDescent="0.3">
      <c r="B35" s="79">
        <v>21</v>
      </c>
      <c r="C35" s="80"/>
      <c r="D35" s="81"/>
      <c r="E35" s="81"/>
      <c r="F35" s="81"/>
      <c r="G35" s="81"/>
      <c r="H35" s="82">
        <v>2.231E-2</v>
      </c>
    </row>
    <row r="36" spans="1:24" ht="15" customHeight="1" thickTop="1" x14ac:dyDescent="0.25">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3">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4">
      <c r="A41" s="90" t="s">
        <v>52</v>
      </c>
      <c r="B41" s="91"/>
    </row>
    <row r="42" spans="1:24" ht="15" customHeight="1" thickTop="1" x14ac:dyDescent="0.25">
      <c r="A42" s="92" t="s">
        <v>389</v>
      </c>
      <c r="B42" s="93" t="str">
        <f>depr_type</f>
        <v>MACRS</v>
      </c>
    </row>
    <row r="43" spans="1:24" ht="15" customHeight="1" x14ac:dyDescent="0.25">
      <c r="A43" s="94" t="s">
        <v>53</v>
      </c>
      <c r="B43" s="95">
        <f>depr_length</f>
        <v>20</v>
      </c>
    </row>
    <row r="44" spans="1:24" ht="15" customHeight="1" thickBot="1" x14ac:dyDescent="0.3">
      <c r="A44" s="96" t="s">
        <v>54</v>
      </c>
      <c r="B44" s="97">
        <f ca="1">-('Cash Flow Analysis'!G65+SUM('Cash Flow Analysis'!H65:H113))</f>
        <v>232143636.82927614</v>
      </c>
    </row>
    <row r="45" spans="1:24" ht="15" customHeight="1" thickTop="1" x14ac:dyDescent="0.25"/>
    <row r="46" spans="1:24" ht="15" customHeight="1" thickBot="1" x14ac:dyDescent="0.3"/>
    <row r="47" spans="1:24" ht="27" customHeight="1" thickTop="1" thickBot="1" x14ac:dyDescent="0.4">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3">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5">
      <c r="A49" s="83">
        <f>IF('Cash Flow Analysis'!C65="","",'Cash Flow Analysis'!C65)</f>
        <v>-3</v>
      </c>
      <c r="B49" s="1087">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5">
      <c r="A50" s="75">
        <f>IF('Cash Flow Analysis'!C66="","",'Cash Flow Analysis'!C66)</f>
        <v>-2</v>
      </c>
      <c r="B50" s="1088">
        <f>IF(A50="","",IF(A50&lt;1,0,IF(A50=1,$B$44-'Cash Flow Analysis'!I66,-'Cash Flow Analysis'!I66)))</f>
        <v>0</v>
      </c>
      <c r="C50" s="108">
        <f t="shared" ref="C50:W50" si="4">IF($B$50="","",IF(AND($B$42="Straight Line",C48&lt;=depr_length),$B$50/depr_length,IF(AND($B$42="MACRS",C48&lt;=depr_length+1),$B$50*INDEX(MACRS_Table,MATCH(C48,recovery_year,0),MATCH($B$43,recovery_period,0)),"")))</f>
        <v>0</v>
      </c>
      <c r="D50" s="109">
        <f t="shared" si="4"/>
        <v>0</v>
      </c>
      <c r="E50" s="109">
        <f t="shared" si="4"/>
        <v>0</v>
      </c>
      <c r="F50" s="109">
        <f t="shared" si="4"/>
        <v>0</v>
      </c>
      <c r="G50" s="109">
        <f t="shared" si="4"/>
        <v>0</v>
      </c>
      <c r="H50" s="109">
        <f t="shared" si="4"/>
        <v>0</v>
      </c>
      <c r="I50" s="109">
        <f t="shared" si="4"/>
        <v>0</v>
      </c>
      <c r="J50" s="109">
        <f t="shared" si="4"/>
        <v>0</v>
      </c>
      <c r="K50" s="109">
        <f t="shared" si="4"/>
        <v>0</v>
      </c>
      <c r="L50" s="109">
        <f t="shared" si="4"/>
        <v>0</v>
      </c>
      <c r="M50" s="109">
        <f t="shared" si="4"/>
        <v>0</v>
      </c>
      <c r="N50" s="109">
        <f t="shared" si="4"/>
        <v>0</v>
      </c>
      <c r="O50" s="109">
        <f t="shared" si="4"/>
        <v>0</v>
      </c>
      <c r="P50" s="109">
        <f t="shared" si="4"/>
        <v>0</v>
      </c>
      <c r="Q50" s="109">
        <f t="shared" si="4"/>
        <v>0</v>
      </c>
      <c r="R50" s="109">
        <f t="shared" si="4"/>
        <v>0</v>
      </c>
      <c r="S50" s="109">
        <f t="shared" si="4"/>
        <v>0</v>
      </c>
      <c r="T50" s="109">
        <f t="shared" si="4"/>
        <v>0</v>
      </c>
      <c r="U50" s="109">
        <f t="shared" si="4"/>
        <v>0</v>
      </c>
      <c r="V50" s="109">
        <f t="shared" si="4"/>
        <v>0</v>
      </c>
      <c r="W50" s="110">
        <f t="shared" si="4"/>
        <v>0</v>
      </c>
      <c r="X50" s="107">
        <f t="shared" si="3"/>
        <v>0</v>
      </c>
    </row>
    <row r="51" spans="1:24" ht="15" customHeight="1" x14ac:dyDescent="0.25">
      <c r="A51" s="75">
        <f>IF('Cash Flow Analysis'!C67="","",'Cash Flow Analysis'!C67)</f>
        <v>-1</v>
      </c>
      <c r="B51" s="1088">
        <f>IF(A51="","",IF(A51&lt;1,0,IF(A51=1,$B$44-'Cash Flow Analysis'!I67,-'Cash Flow Analysis'!I67)))</f>
        <v>0</v>
      </c>
      <c r="C51" s="108">
        <f t="shared" ref="C51:W51" si="5">IF($B$51="","",IF(AND($B$42="Straight Line",C48&lt;=depr_length),$B$51/depr_length,IF(AND($B$42="MACRS",C48&lt;=depr_length+1),$B$51*INDEX(MACRS_Table,MATCH(C48,recovery_year,0),MATCH($B$43,recovery_period,0)),"")))</f>
        <v>0</v>
      </c>
      <c r="D51" s="109">
        <f t="shared" si="5"/>
        <v>0</v>
      </c>
      <c r="E51" s="109">
        <f t="shared" si="5"/>
        <v>0</v>
      </c>
      <c r="F51" s="109">
        <f t="shared" si="5"/>
        <v>0</v>
      </c>
      <c r="G51" s="109">
        <f t="shared" si="5"/>
        <v>0</v>
      </c>
      <c r="H51" s="109">
        <f t="shared" si="5"/>
        <v>0</v>
      </c>
      <c r="I51" s="109">
        <f t="shared" si="5"/>
        <v>0</v>
      </c>
      <c r="J51" s="109">
        <f t="shared" si="5"/>
        <v>0</v>
      </c>
      <c r="K51" s="109">
        <f t="shared" si="5"/>
        <v>0</v>
      </c>
      <c r="L51" s="109">
        <f t="shared" si="5"/>
        <v>0</v>
      </c>
      <c r="M51" s="109">
        <f t="shared" si="5"/>
        <v>0</v>
      </c>
      <c r="N51" s="109">
        <f t="shared" si="5"/>
        <v>0</v>
      </c>
      <c r="O51" s="109">
        <f t="shared" si="5"/>
        <v>0</v>
      </c>
      <c r="P51" s="109">
        <f t="shared" si="5"/>
        <v>0</v>
      </c>
      <c r="Q51" s="109">
        <f t="shared" si="5"/>
        <v>0</v>
      </c>
      <c r="R51" s="109">
        <f t="shared" si="5"/>
        <v>0</v>
      </c>
      <c r="S51" s="109">
        <f t="shared" si="5"/>
        <v>0</v>
      </c>
      <c r="T51" s="109">
        <f t="shared" si="5"/>
        <v>0</v>
      </c>
      <c r="U51" s="109">
        <f t="shared" si="5"/>
        <v>0</v>
      </c>
      <c r="V51" s="109">
        <f t="shared" si="5"/>
        <v>0</v>
      </c>
      <c r="W51" s="110">
        <f t="shared" si="5"/>
        <v>0</v>
      </c>
      <c r="X51" s="107">
        <f t="shared" si="3"/>
        <v>0</v>
      </c>
    </row>
    <row r="52" spans="1:24" ht="15" customHeight="1" x14ac:dyDescent="0.25">
      <c r="A52" s="75">
        <f>IF('Cash Flow Analysis'!C68="","",'Cash Flow Analysis'!C68)</f>
        <v>1</v>
      </c>
      <c r="B52" s="1088">
        <f ca="1">IF(A52="","",IF(A52&lt;1,0,IF(A52=1,$B$44-'Cash Flow Analysis'!I68,-'Cash Flow Analysis'!I68)))</f>
        <v>233360259.30121163</v>
      </c>
      <c r="C52" s="108">
        <f t="shared" ref="C52:W52" ca="1" si="6">IF($B$52="","",IF(AND($B$42="Straight Line",C48&lt;=depr_length),$B$52/depr_length,IF(AND($B$42="MACRS",C48&lt;=depr_length+1),$B$52*INDEX(MACRS_Table,MATCH(C48,recovery_year,0),MATCH($B$43,recovery_period,0)),"")))</f>
        <v>8751009.7237954363</v>
      </c>
      <c r="D52" s="109">
        <f t="shared" ca="1" si="6"/>
        <v>16846277.118954469</v>
      </c>
      <c r="E52" s="109">
        <f t="shared" ca="1" si="6"/>
        <v>15581464.5135419</v>
      </c>
      <c r="F52" s="109">
        <f t="shared" ca="1" si="6"/>
        <v>14414663.217035841</v>
      </c>
      <c r="G52" s="109">
        <f t="shared" ca="1" si="6"/>
        <v>13331871.61387822</v>
      </c>
      <c r="H52" s="109">
        <f t="shared" ca="1" si="6"/>
        <v>12333089.704069035</v>
      </c>
      <c r="I52" s="109">
        <f t="shared" ca="1" si="6"/>
        <v>11406649.474643225</v>
      </c>
      <c r="J52" s="109">
        <f t="shared" ca="1" si="6"/>
        <v>10552550.925600791</v>
      </c>
      <c r="K52" s="109">
        <f t="shared" ca="1" si="6"/>
        <v>10412534.770020062</v>
      </c>
      <c r="L52" s="109">
        <f t="shared" ca="1" si="6"/>
        <v>10410201.16742705</v>
      </c>
      <c r="M52" s="109">
        <f t="shared" ca="1" si="6"/>
        <v>10412534.770020062</v>
      </c>
      <c r="N52" s="109">
        <f t="shared" ca="1" si="6"/>
        <v>10410201.16742705</v>
      </c>
      <c r="O52" s="109">
        <f t="shared" ca="1" si="6"/>
        <v>10412534.770020062</v>
      </c>
      <c r="P52" s="109">
        <f t="shared" ca="1" si="6"/>
        <v>10410201.16742705</v>
      </c>
      <c r="Q52" s="109">
        <f t="shared" ca="1" si="6"/>
        <v>10412534.770020062</v>
      </c>
      <c r="R52" s="109">
        <f t="shared" ca="1" si="6"/>
        <v>10410201.16742705</v>
      </c>
      <c r="S52" s="109">
        <f t="shared" ca="1" si="6"/>
        <v>10412534.770020062</v>
      </c>
      <c r="T52" s="109">
        <f t="shared" ca="1" si="6"/>
        <v>10410201.16742705</v>
      </c>
      <c r="U52" s="109">
        <f t="shared" ca="1" si="6"/>
        <v>10412534.770020062</v>
      </c>
      <c r="V52" s="109">
        <f t="shared" ca="1" si="6"/>
        <v>10410201.16742705</v>
      </c>
      <c r="W52" s="110">
        <f t="shared" ca="1" si="6"/>
        <v>5206267.3850100311</v>
      </c>
      <c r="X52" s="107">
        <f t="shared" ca="1" si="3"/>
        <v>233360259.30121171</v>
      </c>
    </row>
    <row r="53" spans="1:24" ht="15" customHeight="1" x14ac:dyDescent="0.25">
      <c r="A53" s="75">
        <f>IF('Cash Flow Analysis'!C69="","",'Cash Flow Analysis'!C69)</f>
        <v>2</v>
      </c>
      <c r="B53" s="1088">
        <f ca="1">IF(A53="","",IF(A53&lt;1,0,IF(A53=1,$B$44-'Cash Flow Analysis'!I69,-'Cash Flow Analysis'!I69)))</f>
        <v>1239738.2989022506</v>
      </c>
      <c r="C53" s="108">
        <f t="shared" ref="C53:W53" ca="1" si="7">IF($B$53="","",IF(AND($B$42="Straight Line",C48&lt;=depr_length),$B$53/depr_length,IF(AND($B$42="MACRS",C48&lt;=depr_length+1),$B$53*INDEX(MACRS_Table,MATCH(C48,recovery_year,0),MATCH($B$43,recovery_period,0)),"")))</f>
        <v>46490.186208834399</v>
      </c>
      <c r="D53" s="109">
        <f t="shared" ca="1" si="7"/>
        <v>89496.707797753479</v>
      </c>
      <c r="E53" s="109">
        <f t="shared" ca="1" si="7"/>
        <v>82777.326217703274</v>
      </c>
      <c r="F53" s="109">
        <f t="shared" ca="1" si="7"/>
        <v>76578.634723192023</v>
      </c>
      <c r="G53" s="109">
        <f t="shared" ca="1" si="7"/>
        <v>70826.249016285583</v>
      </c>
      <c r="H53" s="109">
        <f t="shared" ca="1" si="7"/>
        <v>65520.169096983947</v>
      </c>
      <c r="I53" s="109">
        <f t="shared" ca="1" si="7"/>
        <v>60598.408050342012</v>
      </c>
      <c r="J53" s="109">
        <f t="shared" ca="1" si="7"/>
        <v>56060.965876359776</v>
      </c>
      <c r="K53" s="109">
        <f t="shared" ca="1" si="7"/>
        <v>55317.122897018424</v>
      </c>
      <c r="L53" s="109">
        <f t="shared" ca="1" si="7"/>
        <v>55304.725514029393</v>
      </c>
      <c r="M53" s="109">
        <f t="shared" ca="1" si="7"/>
        <v>55317.122897018424</v>
      </c>
      <c r="N53" s="109">
        <f t="shared" ca="1" si="7"/>
        <v>55304.725514029393</v>
      </c>
      <c r="O53" s="109">
        <f t="shared" ca="1" si="7"/>
        <v>55317.122897018424</v>
      </c>
      <c r="P53" s="109">
        <f t="shared" ca="1" si="7"/>
        <v>55304.725514029393</v>
      </c>
      <c r="Q53" s="109">
        <f t="shared" ca="1" si="7"/>
        <v>55317.122897018424</v>
      </c>
      <c r="R53" s="109">
        <f t="shared" ca="1" si="7"/>
        <v>55304.725514029393</v>
      </c>
      <c r="S53" s="109">
        <f t="shared" ca="1" si="7"/>
        <v>55317.122897018424</v>
      </c>
      <c r="T53" s="109">
        <f t="shared" ca="1" si="7"/>
        <v>55304.725514029393</v>
      </c>
      <c r="U53" s="109">
        <f t="shared" ca="1" si="7"/>
        <v>55317.122897018424</v>
      </c>
      <c r="V53" s="109">
        <f t="shared" ca="1" si="7"/>
        <v>55304.725514029393</v>
      </c>
      <c r="W53" s="110">
        <f t="shared" ca="1" si="7"/>
        <v>27658.561448509212</v>
      </c>
      <c r="X53" s="107">
        <f t="shared" ca="1" si="3"/>
        <v>1239738.2989022506</v>
      </c>
    </row>
    <row r="54" spans="1:24" ht="15" customHeight="1" x14ac:dyDescent="0.25">
      <c r="A54" s="75">
        <f>IF('Cash Flow Analysis'!C70="","",'Cash Flow Analysis'!C70)</f>
        <v>3</v>
      </c>
      <c r="B54" s="1088">
        <f ca="1">IF(A54="","",IF(A54&lt;1,0,IF(A54=1,$B$44-'Cash Flow Analysis'!I70,-'Cash Flow Analysis'!I70)))</f>
        <v>1263293.3265813934</v>
      </c>
      <c r="C54" s="108">
        <f t="shared" ref="C54:W54" ca="1" si="8">IF($B$54="","",IF(AND($B$42="Straight Line",C48&lt;=depr_length),$B$54/depr_length,IF(AND($B$42="MACRS",C48&lt;=depr_length+1),$B$54*INDEX(MACRS_Table,MATCH(C48,recovery_year,0),MATCH($B$43,recovery_period,0)),"")))</f>
        <v>47373.499746802248</v>
      </c>
      <c r="D54" s="109">
        <f t="shared" ca="1" si="8"/>
        <v>91197.145245910797</v>
      </c>
      <c r="E54" s="109">
        <f t="shared" ca="1" si="8"/>
        <v>84350.095415839634</v>
      </c>
      <c r="F54" s="109">
        <f t="shared" ca="1" si="8"/>
        <v>78033.628782932661</v>
      </c>
      <c r="G54" s="109">
        <f t="shared" ca="1" si="8"/>
        <v>72171.947747594997</v>
      </c>
      <c r="H54" s="109">
        <f t="shared" ca="1" si="8"/>
        <v>66765.052309826642</v>
      </c>
      <c r="I54" s="109">
        <f t="shared" ca="1" si="8"/>
        <v>61749.777803298508</v>
      </c>
      <c r="J54" s="109">
        <f t="shared" ca="1" si="8"/>
        <v>57126.124228010609</v>
      </c>
      <c r="K54" s="109">
        <f t="shared" ca="1" si="8"/>
        <v>56368.148232061772</v>
      </c>
      <c r="L54" s="109">
        <f t="shared" ca="1" si="8"/>
        <v>56355.515298795952</v>
      </c>
      <c r="M54" s="109">
        <f t="shared" ca="1" si="8"/>
        <v>56368.148232061772</v>
      </c>
      <c r="N54" s="109">
        <f t="shared" ca="1" si="8"/>
        <v>56355.515298795952</v>
      </c>
      <c r="O54" s="109">
        <f t="shared" ca="1" si="8"/>
        <v>56368.148232061772</v>
      </c>
      <c r="P54" s="109">
        <f t="shared" ca="1" si="8"/>
        <v>56355.515298795952</v>
      </c>
      <c r="Q54" s="109">
        <f t="shared" ca="1" si="8"/>
        <v>56368.148232061772</v>
      </c>
      <c r="R54" s="109">
        <f t="shared" ca="1" si="8"/>
        <v>56355.515298795952</v>
      </c>
      <c r="S54" s="109">
        <f t="shared" ca="1" si="8"/>
        <v>56368.148232061772</v>
      </c>
      <c r="T54" s="109">
        <f t="shared" ca="1" si="8"/>
        <v>56355.515298795952</v>
      </c>
      <c r="U54" s="109">
        <f t="shared" ca="1" si="8"/>
        <v>56368.148232061772</v>
      </c>
      <c r="V54" s="109">
        <f t="shared" ca="1" si="8"/>
        <v>56355.515298795952</v>
      </c>
      <c r="W54" s="110">
        <f t="shared" ca="1" si="8"/>
        <v>28184.074116030886</v>
      </c>
      <c r="X54" s="107">
        <f t="shared" ca="1" si="3"/>
        <v>1263293.3265813936</v>
      </c>
    </row>
    <row r="55" spans="1:24" ht="15" customHeight="1" x14ac:dyDescent="0.25">
      <c r="A55" s="75">
        <f>IF('Cash Flow Analysis'!C71="","",'Cash Flow Analysis'!C71)</f>
        <v>4</v>
      </c>
      <c r="B55" s="1088">
        <f ca="1">IF(A55="","",IF(A55&lt;1,0,IF(A55=1,$B$44-'Cash Flow Analysis'!I71,-'Cash Flow Analysis'!I71)))</f>
        <v>1287295.8997864397</v>
      </c>
      <c r="C55" s="108">
        <f t="shared" ref="C55:W55" ca="1" si="9">IF($B$55="","",IF(AND($B$42="Straight Line",C48&lt;=depr_length),$B$55/depr_length,IF(AND($B$42="MACRS",C48&lt;=depr_length+1),$B$55*INDEX(MACRS_Table,MATCH(C48,recovery_year,0),MATCH($B$43,recovery_period,0)),"")))</f>
        <v>48273.596241991487</v>
      </c>
      <c r="D55" s="109">
        <f t="shared" ca="1" si="9"/>
        <v>92929.891005583093</v>
      </c>
      <c r="E55" s="109">
        <f t="shared" ca="1" si="9"/>
        <v>85952.747228740569</v>
      </c>
      <c r="F55" s="109">
        <f t="shared" ca="1" si="9"/>
        <v>79516.267729808373</v>
      </c>
      <c r="G55" s="109">
        <f t="shared" ca="1" si="9"/>
        <v>73543.214754799308</v>
      </c>
      <c r="H55" s="109">
        <f t="shared" ca="1" si="9"/>
        <v>68033.588303713346</v>
      </c>
      <c r="I55" s="109">
        <f t="shared" ca="1" si="9"/>
        <v>62923.023581561174</v>
      </c>
      <c r="J55" s="109">
        <f t="shared" ca="1" si="9"/>
        <v>58211.520588342806</v>
      </c>
      <c r="K55" s="109">
        <f t="shared" ca="1" si="9"/>
        <v>57439.143048470942</v>
      </c>
      <c r="L55" s="109">
        <f t="shared" ca="1" si="9"/>
        <v>57426.270089473073</v>
      </c>
      <c r="M55" s="109">
        <f t="shared" ca="1" si="9"/>
        <v>57439.143048470942</v>
      </c>
      <c r="N55" s="109">
        <f t="shared" ca="1" si="9"/>
        <v>57426.270089473073</v>
      </c>
      <c r="O55" s="109">
        <f t="shared" ca="1" si="9"/>
        <v>57439.143048470942</v>
      </c>
      <c r="P55" s="109">
        <f t="shared" ca="1" si="9"/>
        <v>57426.270089473073</v>
      </c>
      <c r="Q55" s="109">
        <f t="shared" ca="1" si="9"/>
        <v>57439.143048470942</v>
      </c>
      <c r="R55" s="109">
        <f t="shared" ca="1" si="9"/>
        <v>57426.270089473073</v>
      </c>
      <c r="S55" s="109">
        <f t="shared" ca="1" si="9"/>
        <v>57439.143048470942</v>
      </c>
      <c r="T55" s="109">
        <f t="shared" ca="1" si="9"/>
        <v>57426.270089473073</v>
      </c>
      <c r="U55" s="109">
        <f t="shared" ca="1" si="9"/>
        <v>57439.143048470942</v>
      </c>
      <c r="V55" s="109">
        <f t="shared" ca="1" si="9"/>
        <v>57426.270089473073</v>
      </c>
      <c r="W55" s="110">
        <f t="shared" ca="1" si="9"/>
        <v>28719.571524235471</v>
      </c>
      <c r="X55" s="107">
        <f t="shared" ca="1" si="3"/>
        <v>1287295.89978644</v>
      </c>
    </row>
    <row r="56" spans="1:24" ht="15" customHeight="1" x14ac:dyDescent="0.25">
      <c r="A56" s="75">
        <f>IF('Cash Flow Analysis'!C72="","",'Cash Flow Analysis'!C72)</f>
        <v>5</v>
      </c>
      <c r="B56" s="1088">
        <f ca="1">IF(A56="","",IF(A56&lt;1,0,IF(A56=1,$B$44-'Cash Flow Analysis'!I72,-'Cash Flow Analysis'!I72)))</f>
        <v>1311754.521882382</v>
      </c>
      <c r="C56" s="108">
        <f t="shared" ref="C56:W56" ca="1" si="10">IF($B$56="","",IF(AND($B$42="Straight Line",C48&lt;=depr_length),$B$56/depr_length,IF(AND($B$42="MACRS",C48&lt;=depr_length+1),$B$56*INDEX(MACRS_Table,MATCH(C48,recovery_year,0),MATCH($B$43,recovery_period,0)),"")))</f>
        <v>49190.794570589322</v>
      </c>
      <c r="D56" s="109">
        <f t="shared" ca="1" si="10"/>
        <v>94695.558934689165</v>
      </c>
      <c r="E56" s="109">
        <f t="shared" ca="1" si="10"/>
        <v>87585.849426086643</v>
      </c>
      <c r="F56" s="109">
        <f t="shared" ca="1" si="10"/>
        <v>81027.076816674729</v>
      </c>
      <c r="G56" s="109">
        <f t="shared" ca="1" si="10"/>
        <v>74940.535835140487</v>
      </c>
      <c r="H56" s="109">
        <f t="shared" ca="1" si="10"/>
        <v>69326.226481483885</v>
      </c>
      <c r="I56" s="109">
        <f t="shared" ca="1" si="10"/>
        <v>64118.561029610828</v>
      </c>
      <c r="J56" s="109">
        <f t="shared" ca="1" si="10"/>
        <v>59317.539479521314</v>
      </c>
      <c r="K56" s="109">
        <f t="shared" ca="1" si="10"/>
        <v>58530.486766391885</v>
      </c>
      <c r="L56" s="109">
        <f t="shared" ca="1" si="10"/>
        <v>58517.369221173059</v>
      </c>
      <c r="M56" s="109">
        <f t="shared" ca="1" si="10"/>
        <v>58530.486766391885</v>
      </c>
      <c r="N56" s="109">
        <f t="shared" ca="1" si="10"/>
        <v>58517.369221173059</v>
      </c>
      <c r="O56" s="109">
        <f t="shared" ca="1" si="10"/>
        <v>58530.486766391885</v>
      </c>
      <c r="P56" s="109">
        <f t="shared" ca="1" si="10"/>
        <v>58517.369221173059</v>
      </c>
      <c r="Q56" s="109">
        <f t="shared" ca="1" si="10"/>
        <v>58530.486766391885</v>
      </c>
      <c r="R56" s="109">
        <f t="shared" ca="1" si="10"/>
        <v>58517.369221173059</v>
      </c>
      <c r="S56" s="109">
        <f t="shared" ca="1" si="10"/>
        <v>58530.486766391885</v>
      </c>
      <c r="T56" s="109">
        <f t="shared" ca="1" si="10"/>
        <v>58517.369221173059</v>
      </c>
      <c r="U56" s="109">
        <f t="shared" ca="1" si="10"/>
        <v>58530.486766391885</v>
      </c>
      <c r="V56" s="109">
        <f t="shared" ca="1" si="10"/>
        <v>58517.369221173059</v>
      </c>
      <c r="W56" s="110">
        <f t="shared" ca="1" si="10"/>
        <v>29265.243383195942</v>
      </c>
      <c r="X56" s="107">
        <f t="shared" ca="1" si="3"/>
        <v>1311754.521882382</v>
      </c>
    </row>
    <row r="57" spans="1:24" ht="15" customHeight="1" x14ac:dyDescent="0.25">
      <c r="A57" s="75">
        <f>IF('Cash Flow Analysis'!C73="","",'Cash Flow Analysis'!C73)</f>
        <v>6</v>
      </c>
      <c r="B57" s="1088">
        <f ca="1">IF(A57="","",IF(A57&lt;1,0,IF(A57=1,$B$44-'Cash Flow Analysis'!I73,-'Cash Flow Analysis'!I73)))</f>
        <v>1336677.857798147</v>
      </c>
      <c r="C57" s="108">
        <f t="shared" ref="C57:W57" ca="1" si="11">IF($B$57="","",IF(AND($B$42="Straight Line",C48&lt;=depr_length),$B$57/depr_length,IF(AND($B$42="MACRS",C48&lt;=depr_length+1),$B$57*INDEX(MACRS_Table,MATCH(C48,recovery_year,0),MATCH($B$43,recovery_period,0)),"")))</f>
        <v>50125.419667430513</v>
      </c>
      <c r="D57" s="109">
        <f t="shared" ca="1" si="11"/>
        <v>96494.774554448231</v>
      </c>
      <c r="E57" s="109">
        <f t="shared" ca="1" si="11"/>
        <v>89249.980565182268</v>
      </c>
      <c r="F57" s="109">
        <f t="shared" ca="1" si="11"/>
        <v>82566.591276191539</v>
      </c>
      <c r="G57" s="109">
        <f t="shared" ca="1" si="11"/>
        <v>76364.406016008143</v>
      </c>
      <c r="H57" s="109">
        <f t="shared" ca="1" si="11"/>
        <v>70643.424784632065</v>
      </c>
      <c r="I57" s="109">
        <f t="shared" ca="1" si="11"/>
        <v>65336.813689173425</v>
      </c>
      <c r="J57" s="109">
        <f t="shared" ca="1" si="11"/>
        <v>60444.572729632215</v>
      </c>
      <c r="K57" s="109">
        <f t="shared" ca="1" si="11"/>
        <v>59642.566014953321</v>
      </c>
      <c r="L57" s="109">
        <f t="shared" ca="1" si="11"/>
        <v>59629.199236375331</v>
      </c>
      <c r="M57" s="109">
        <f t="shared" ca="1" si="11"/>
        <v>59642.566014953321</v>
      </c>
      <c r="N57" s="109">
        <f t="shared" ca="1" si="11"/>
        <v>59629.199236375331</v>
      </c>
      <c r="O57" s="109">
        <f t="shared" ca="1" si="11"/>
        <v>59642.566014953321</v>
      </c>
      <c r="P57" s="109">
        <f t="shared" ca="1" si="11"/>
        <v>59629.199236375331</v>
      </c>
      <c r="Q57" s="109">
        <f t="shared" ca="1" si="11"/>
        <v>59642.566014953321</v>
      </c>
      <c r="R57" s="109">
        <f t="shared" ca="1" si="11"/>
        <v>59629.199236375331</v>
      </c>
      <c r="S57" s="109">
        <f t="shared" ca="1" si="11"/>
        <v>59642.566014953321</v>
      </c>
      <c r="T57" s="109">
        <f t="shared" ca="1" si="11"/>
        <v>59629.199236375331</v>
      </c>
      <c r="U57" s="109">
        <f t="shared" ca="1" si="11"/>
        <v>59642.566014953321</v>
      </c>
      <c r="V57" s="109">
        <f t="shared" ca="1" si="11"/>
        <v>59629.199236375331</v>
      </c>
      <c r="W57" s="110">
        <f t="shared" ca="1" si="11"/>
        <v>29821.283007476661</v>
      </c>
      <c r="X57" s="107">
        <f t="shared" ca="1" si="3"/>
        <v>1336677.857798147</v>
      </c>
    </row>
    <row r="58" spans="1:24" ht="15" customHeight="1" x14ac:dyDescent="0.25">
      <c r="A58" s="75">
        <f>IF('Cash Flow Analysis'!C74="","",'Cash Flow Analysis'!C74)</f>
        <v>7</v>
      </c>
      <c r="B58" s="1088">
        <f ca="1">IF(A58="","",IF(A58&lt;1,0,IF(A58=1,$B$44-'Cash Flow Analysis'!I74,-'Cash Flow Analysis'!I74)))</f>
        <v>1362074.737096312</v>
      </c>
      <c r="C58" s="108">
        <f t="shared" ref="C58:W58" ca="1" si="12">IF($B$58="","",IF(AND($B$42="Straight Line",C48&lt;=depr_length),$B$58/depr_length,IF(AND($B$42="MACRS",C48&lt;=depr_length+1),$B$58*INDEX(MACRS_Table,MATCH(C48,recovery_year,0),MATCH($B$43,recovery_period,0)),"")))</f>
        <v>51077.802641111695</v>
      </c>
      <c r="D58" s="109">
        <f t="shared" ca="1" si="12"/>
        <v>98328.175270982771</v>
      </c>
      <c r="E58" s="109">
        <f t="shared" ca="1" si="12"/>
        <v>90945.73019592074</v>
      </c>
      <c r="F58" s="109">
        <f t="shared" ca="1" si="12"/>
        <v>84135.356510439189</v>
      </c>
      <c r="G58" s="109">
        <f t="shared" ca="1" si="12"/>
        <v>77815.329730312311</v>
      </c>
      <c r="H58" s="109">
        <f t="shared" ca="1" si="12"/>
        <v>71985.64985554009</v>
      </c>
      <c r="I58" s="109">
        <f t="shared" ca="1" si="12"/>
        <v>66578.213149267729</v>
      </c>
      <c r="J58" s="109">
        <f t="shared" ca="1" si="12"/>
        <v>61593.019611495234</v>
      </c>
      <c r="K58" s="109">
        <f t="shared" ca="1" si="12"/>
        <v>60775.77476923744</v>
      </c>
      <c r="L58" s="109">
        <f t="shared" ca="1" si="12"/>
        <v>60762.154021866474</v>
      </c>
      <c r="M58" s="109">
        <f t="shared" ca="1" si="12"/>
        <v>60775.77476923744</v>
      </c>
      <c r="N58" s="109">
        <f t="shared" ca="1" si="12"/>
        <v>60762.154021866474</v>
      </c>
      <c r="O58" s="109">
        <f t="shared" ca="1" si="12"/>
        <v>60775.77476923744</v>
      </c>
      <c r="P58" s="109">
        <f t="shared" ca="1" si="12"/>
        <v>60762.154021866474</v>
      </c>
      <c r="Q58" s="109">
        <f t="shared" ca="1" si="12"/>
        <v>60775.77476923744</v>
      </c>
      <c r="R58" s="109">
        <f t="shared" ca="1" si="12"/>
        <v>60762.154021866474</v>
      </c>
      <c r="S58" s="109">
        <f t="shared" ca="1" si="12"/>
        <v>60775.77476923744</v>
      </c>
      <c r="T58" s="109">
        <f t="shared" ca="1" si="12"/>
        <v>60762.154021866474</v>
      </c>
      <c r="U58" s="109">
        <f t="shared" ca="1" si="12"/>
        <v>60775.77476923744</v>
      </c>
      <c r="V58" s="109">
        <f t="shared" ca="1" si="12"/>
        <v>60762.154021866474</v>
      </c>
      <c r="W58" s="110">
        <f t="shared" ca="1" si="12"/>
        <v>30387.88738461872</v>
      </c>
      <c r="X58" s="107">
        <f t="shared" ca="1" si="3"/>
        <v>1362074.7370963118</v>
      </c>
    </row>
    <row r="59" spans="1:24" ht="15" customHeight="1" x14ac:dyDescent="0.25">
      <c r="A59" s="75">
        <f>IF('Cash Flow Analysis'!C75="","",'Cash Flow Analysis'!C75)</f>
        <v>8</v>
      </c>
      <c r="B59" s="1088">
        <f ca="1">IF(A59="","",IF(A59&lt;1,0,IF(A59=1,$B$44-'Cash Flow Analysis'!I75,-'Cash Flow Analysis'!I75)))</f>
        <v>1387954.157101142</v>
      </c>
      <c r="C59" s="108">
        <f t="shared" ref="C59:W59" ca="1" si="13">IF($B$59="","",IF(AND($B$42="Straight Line",C48&lt;=depr_length),$B$59/depr_length,IF(AND($B$42="MACRS",C48&lt;=depr_length+1),$B$59*INDEX(MACRS_Table,MATCH(C48,recovery_year,0),MATCH($B$43,recovery_period,0)),"")))</f>
        <v>52048.280891292823</v>
      </c>
      <c r="D59" s="109">
        <f t="shared" ca="1" si="13"/>
        <v>100196.41060113144</v>
      </c>
      <c r="E59" s="109">
        <f t="shared" ca="1" si="13"/>
        <v>92673.699069643248</v>
      </c>
      <c r="F59" s="109">
        <f t="shared" ca="1" si="13"/>
        <v>85733.928284137539</v>
      </c>
      <c r="G59" s="109">
        <f t="shared" ca="1" si="13"/>
        <v>79293.820995188245</v>
      </c>
      <c r="H59" s="109">
        <f t="shared" ca="1" si="13"/>
        <v>73353.377202795353</v>
      </c>
      <c r="I59" s="109">
        <f t="shared" ca="1" si="13"/>
        <v>67843.199199103823</v>
      </c>
      <c r="J59" s="109">
        <f t="shared" ca="1" si="13"/>
        <v>62763.286984113642</v>
      </c>
      <c r="K59" s="109">
        <f t="shared" ca="1" si="13"/>
        <v>61930.514489852954</v>
      </c>
      <c r="L59" s="109">
        <f t="shared" ca="1" si="13"/>
        <v>61916.634948281942</v>
      </c>
      <c r="M59" s="109">
        <f t="shared" ca="1" si="13"/>
        <v>61930.514489852954</v>
      </c>
      <c r="N59" s="109">
        <f t="shared" ca="1" si="13"/>
        <v>61916.634948281942</v>
      </c>
      <c r="O59" s="109">
        <f t="shared" ca="1" si="13"/>
        <v>61930.514489852954</v>
      </c>
      <c r="P59" s="109">
        <f t="shared" ca="1" si="13"/>
        <v>61916.634948281942</v>
      </c>
      <c r="Q59" s="109">
        <f t="shared" ca="1" si="13"/>
        <v>61930.514489852954</v>
      </c>
      <c r="R59" s="109">
        <f t="shared" ca="1" si="13"/>
        <v>61916.634948281942</v>
      </c>
      <c r="S59" s="109">
        <f t="shared" ca="1" si="13"/>
        <v>61930.514489852954</v>
      </c>
      <c r="T59" s="109">
        <f t="shared" ca="1" si="13"/>
        <v>61916.634948281942</v>
      </c>
      <c r="U59" s="109">
        <f t="shared" ca="1" si="13"/>
        <v>61930.514489852954</v>
      </c>
      <c r="V59" s="109">
        <f t="shared" ca="1" si="13"/>
        <v>61916.634948281942</v>
      </c>
      <c r="W59" s="110">
        <f t="shared" ca="1" si="13"/>
        <v>30965.257244926477</v>
      </c>
      <c r="X59" s="107">
        <f t="shared" ca="1" si="3"/>
        <v>1387954.1571011422</v>
      </c>
    </row>
    <row r="60" spans="1:24" ht="15" customHeight="1" x14ac:dyDescent="0.25">
      <c r="A60" s="75">
        <f>IF('Cash Flow Analysis'!C76="","",'Cash Flow Analysis'!C76)</f>
        <v>9</v>
      </c>
      <c r="B60" s="1088">
        <f ca="1">IF(A60="","",IF(A60&lt;1,0,IF(A60=1,$B$44-'Cash Flow Analysis'!I76,-'Cash Flow Analysis'!I76)))</f>
        <v>1414325.2860860636</v>
      </c>
      <c r="C60" s="108">
        <f t="shared" ref="C60:W60" ca="1" si="14">IF($B$60="","",IF(AND($B$42="Straight Line",C48&lt;=depr_length),$B$60/depr_length,IF(AND($B$42="MACRS",C48&lt;=depr_length+1),$B$60*INDEX(MACRS_Table,MATCH(C48,recovery_year,0),MATCH($B$43,recovery_period,0)),"")))</f>
        <v>53037.198228227382</v>
      </c>
      <c r="D60" s="109">
        <f t="shared" ca="1" si="14"/>
        <v>102100.14240255294</v>
      </c>
      <c r="E60" s="109">
        <f t="shared" ca="1" si="14"/>
        <v>94434.499351966457</v>
      </c>
      <c r="F60" s="109">
        <f t="shared" ca="1" si="14"/>
        <v>87362.872921536153</v>
      </c>
      <c r="G60" s="109">
        <f t="shared" ca="1" si="14"/>
        <v>80800.403594096817</v>
      </c>
      <c r="H60" s="109">
        <f t="shared" ca="1" si="14"/>
        <v>74747.091369648464</v>
      </c>
      <c r="I60" s="109">
        <f t="shared" ca="1" si="14"/>
        <v>69132.219983886782</v>
      </c>
      <c r="J60" s="109">
        <f t="shared" ca="1" si="14"/>
        <v>63955.7894368118</v>
      </c>
      <c r="K60" s="109">
        <f t="shared" ca="1" si="14"/>
        <v>63107.194265160157</v>
      </c>
      <c r="L60" s="109">
        <f t="shared" ca="1" si="14"/>
        <v>63093.051012299293</v>
      </c>
      <c r="M60" s="109">
        <f t="shared" ca="1" si="14"/>
        <v>63107.194265160157</v>
      </c>
      <c r="N60" s="109">
        <f t="shared" ca="1" si="14"/>
        <v>63093.051012299293</v>
      </c>
      <c r="O60" s="109">
        <f t="shared" ca="1" si="14"/>
        <v>63107.194265160157</v>
      </c>
      <c r="P60" s="109">
        <f t="shared" ca="1" si="14"/>
        <v>63093.051012299293</v>
      </c>
      <c r="Q60" s="109">
        <f t="shared" ca="1" si="14"/>
        <v>63107.194265160157</v>
      </c>
      <c r="R60" s="109">
        <f t="shared" ca="1" si="14"/>
        <v>63093.051012299293</v>
      </c>
      <c r="S60" s="109">
        <f t="shared" ca="1" si="14"/>
        <v>63107.194265160157</v>
      </c>
      <c r="T60" s="109">
        <f t="shared" ca="1" si="14"/>
        <v>63093.051012299293</v>
      </c>
      <c r="U60" s="109">
        <f t="shared" ca="1" si="14"/>
        <v>63107.194265160157</v>
      </c>
      <c r="V60" s="109">
        <f t="shared" ca="1" si="14"/>
        <v>63093.051012299293</v>
      </c>
      <c r="W60" s="110">
        <f t="shared" ca="1" si="14"/>
        <v>31553.597132580078</v>
      </c>
      <c r="X60" s="107">
        <f t="shared" ca="1" si="3"/>
        <v>1414325.2860860636</v>
      </c>
    </row>
    <row r="61" spans="1:24" ht="15" customHeight="1" x14ac:dyDescent="0.25">
      <c r="A61" s="75">
        <f>IF('Cash Flow Analysis'!C77="","",'Cash Flow Analysis'!C77)</f>
        <v>10</v>
      </c>
      <c r="B61" s="1088">
        <f ca="1">IF(A61="","",IF(A61&lt;1,0,IF(A61=1,$B$44-'Cash Flow Analysis'!I77,-'Cash Flow Analysis'!I77)))</f>
        <v>1441197.4665216985</v>
      </c>
      <c r="C61" s="108">
        <f t="shared" ref="C61:W61" ca="1" si="15">IF($B$61="","",IF(AND($B$42="Straight Line",C48&lt;=depr_length),$B$61/depr_length,IF(AND($B$42="MACRS",C48&lt;=depr_length+1),$B$61*INDEX(MACRS_Table,MATCH(C48,recovery_year,0),MATCH($B$43,recovery_period,0)),"")))</f>
        <v>54044.904994563694</v>
      </c>
      <c r="D61" s="109">
        <f t="shared" ca="1" si="15"/>
        <v>104040.04510820142</v>
      </c>
      <c r="E61" s="109">
        <f t="shared" ca="1" si="15"/>
        <v>96228.754839653804</v>
      </c>
      <c r="F61" s="109">
        <f t="shared" ca="1" si="15"/>
        <v>89022.767507045312</v>
      </c>
      <c r="G61" s="109">
        <f t="shared" ca="1" si="15"/>
        <v>82335.611262384642</v>
      </c>
      <c r="H61" s="109">
        <f t="shared" ca="1" si="15"/>
        <v>76167.286105671767</v>
      </c>
      <c r="I61" s="109">
        <f t="shared" ca="1" si="15"/>
        <v>70445.732163580629</v>
      </c>
      <c r="J61" s="109">
        <f t="shared" ca="1" si="15"/>
        <v>65170.949436111208</v>
      </c>
      <c r="K61" s="109">
        <f t="shared" ca="1" si="15"/>
        <v>64306.230956198189</v>
      </c>
      <c r="L61" s="109">
        <f t="shared" ca="1" si="15"/>
        <v>64291.818981532968</v>
      </c>
      <c r="M61" s="109">
        <f t="shared" ca="1" si="15"/>
        <v>64306.230956198189</v>
      </c>
      <c r="N61" s="109">
        <f t="shared" ca="1" si="15"/>
        <v>64291.818981532968</v>
      </c>
      <c r="O61" s="109">
        <f t="shared" ca="1" si="15"/>
        <v>64306.230956198189</v>
      </c>
      <c r="P61" s="109">
        <f t="shared" ca="1" si="15"/>
        <v>64291.818981532968</v>
      </c>
      <c r="Q61" s="109">
        <f t="shared" ca="1" si="15"/>
        <v>64306.230956198189</v>
      </c>
      <c r="R61" s="109">
        <f t="shared" ca="1" si="15"/>
        <v>64291.818981532968</v>
      </c>
      <c r="S61" s="109">
        <f t="shared" ca="1" si="15"/>
        <v>64306.230956198189</v>
      </c>
      <c r="T61" s="109">
        <f t="shared" ca="1" si="15"/>
        <v>64291.818981532968</v>
      </c>
      <c r="U61" s="109">
        <f t="shared" ca="1" si="15"/>
        <v>64306.230956198189</v>
      </c>
      <c r="V61" s="109">
        <f t="shared" ca="1" si="15"/>
        <v>64291.818981532968</v>
      </c>
      <c r="W61" s="110">
        <f t="shared" ca="1" si="15"/>
        <v>32153.115478099095</v>
      </c>
      <c r="X61" s="107">
        <f t="shared" ca="1" si="3"/>
        <v>1441197.4665216983</v>
      </c>
    </row>
    <row r="62" spans="1:24" ht="15" customHeight="1" x14ac:dyDescent="0.25">
      <c r="A62" s="75">
        <f>IF('Cash Flow Analysis'!C78="","",'Cash Flow Analysis'!C78)</f>
        <v>11</v>
      </c>
      <c r="B62" s="1088">
        <f ca="1">IF(A62="","",IF(A62&lt;1,0,IF(A62=1,$B$44-'Cash Flow Analysis'!I78,-'Cash Flow Analysis'!I78)))</f>
        <v>1468580.2183856107</v>
      </c>
      <c r="C62" s="108">
        <f t="shared" ref="C62:W62" ca="1" si="16">IF($B$62="","",IF(AND($B$42="Straight Line",C48&lt;=depr_length),$B$62/depr_length,IF(AND($B$42="MACRS",C48&lt;=depr_length+1),$B$62*INDEX(MACRS_Table,MATCH(C48,recovery_year,0),MATCH($B$43,recovery_period,0)),"")))</f>
        <v>55071.758189460401</v>
      </c>
      <c r="D62" s="109">
        <f t="shared" ca="1" si="16"/>
        <v>106016.80596525724</v>
      </c>
      <c r="E62" s="109">
        <f t="shared" ca="1" si="16"/>
        <v>98057.101181607228</v>
      </c>
      <c r="F62" s="109">
        <f t="shared" ca="1" si="16"/>
        <v>90714.200089679172</v>
      </c>
      <c r="G62" s="109">
        <f t="shared" ca="1" si="16"/>
        <v>83899.987876369938</v>
      </c>
      <c r="H62" s="109">
        <f t="shared" ca="1" si="16"/>
        <v>77614.464541679525</v>
      </c>
      <c r="I62" s="109">
        <f t="shared" ca="1" si="16"/>
        <v>71784.201074688652</v>
      </c>
      <c r="J62" s="109">
        <f t="shared" ca="1" si="16"/>
        <v>66409.197475397319</v>
      </c>
      <c r="K62" s="109">
        <f t="shared" ca="1" si="16"/>
        <v>65528.049344365951</v>
      </c>
      <c r="L62" s="109">
        <f t="shared" ca="1" si="16"/>
        <v>65513.363542182087</v>
      </c>
      <c r="M62" s="109">
        <f t="shared" ca="1" si="16"/>
        <v>65528.049344365951</v>
      </c>
      <c r="N62" s="109">
        <f t="shared" ca="1" si="16"/>
        <v>65513.363542182087</v>
      </c>
      <c r="O62" s="109">
        <f t="shared" ca="1" si="16"/>
        <v>65528.049344365951</v>
      </c>
      <c r="P62" s="109">
        <f t="shared" ca="1" si="16"/>
        <v>65513.363542182087</v>
      </c>
      <c r="Q62" s="109">
        <f t="shared" ca="1" si="16"/>
        <v>65528.049344365951</v>
      </c>
      <c r="R62" s="109">
        <f t="shared" ca="1" si="16"/>
        <v>65513.363542182087</v>
      </c>
      <c r="S62" s="109">
        <f t="shared" ca="1" si="16"/>
        <v>65528.049344365951</v>
      </c>
      <c r="T62" s="109">
        <f t="shared" ca="1" si="16"/>
        <v>65513.363542182087</v>
      </c>
      <c r="U62" s="109">
        <f t="shared" ca="1" si="16"/>
        <v>65528.049344365951</v>
      </c>
      <c r="V62" s="109">
        <f t="shared" ca="1" si="16"/>
        <v>65513.363542182087</v>
      </c>
      <c r="W62" s="110">
        <f t="shared" ca="1" si="16"/>
        <v>32764.024672182975</v>
      </c>
      <c r="X62" s="107">
        <f t="shared" ca="1" si="3"/>
        <v>1468580.218385611</v>
      </c>
    </row>
    <row r="63" spans="1:24" ht="15" customHeight="1" x14ac:dyDescent="0.25">
      <c r="A63" s="75">
        <f>IF('Cash Flow Analysis'!C79="","",'Cash Flow Analysis'!C79)</f>
        <v>12</v>
      </c>
      <c r="B63" s="1088">
        <f ca="1">IF(A63="","",IF(A63&lt;1,0,IF(A63=1,$B$44-'Cash Flow Analysis'!I79,-'Cash Flow Analysis'!I79)))</f>
        <v>1496483.2425349373</v>
      </c>
      <c r="C63" s="108">
        <f t="shared" ref="C63:W63" ca="1" si="17">IF($B$63="","",IF(AND($B$42="Straight Line",C48&lt;=depr_length),$B$63/depr_length,IF(AND($B$42="MACRS",C48&lt;=depr_length+1),$B$63*INDEX(MACRS_Table,MATCH(C48,recovery_year,0),MATCH($B$43,recovery_period,0)),"")))</f>
        <v>56118.121595060147</v>
      </c>
      <c r="D63" s="109">
        <f t="shared" ca="1" si="17"/>
        <v>108031.12527859713</v>
      </c>
      <c r="E63" s="109">
        <f t="shared" ca="1" si="17"/>
        <v>99920.186104057764</v>
      </c>
      <c r="F63" s="109">
        <f t="shared" ca="1" si="17"/>
        <v>92437.769891383083</v>
      </c>
      <c r="G63" s="109">
        <f t="shared" ca="1" si="17"/>
        <v>85494.087646020969</v>
      </c>
      <c r="H63" s="109">
        <f t="shared" ca="1" si="17"/>
        <v>79089.139367971438</v>
      </c>
      <c r="I63" s="109">
        <f t="shared" ca="1" si="17"/>
        <v>73148.100895107738</v>
      </c>
      <c r="J63" s="109">
        <f t="shared" ca="1" si="17"/>
        <v>67670.972227429869</v>
      </c>
      <c r="K63" s="109">
        <f t="shared" ca="1" si="17"/>
        <v>66773.082281908908</v>
      </c>
      <c r="L63" s="109">
        <f t="shared" ca="1" si="17"/>
        <v>66758.117449483543</v>
      </c>
      <c r="M63" s="109">
        <f t="shared" ca="1" si="17"/>
        <v>66773.082281908908</v>
      </c>
      <c r="N63" s="109">
        <f t="shared" ca="1" si="17"/>
        <v>66758.117449483543</v>
      </c>
      <c r="O63" s="109">
        <f t="shared" ca="1" si="17"/>
        <v>66773.082281908908</v>
      </c>
      <c r="P63" s="109">
        <f t="shared" ca="1" si="17"/>
        <v>66758.117449483543</v>
      </c>
      <c r="Q63" s="109">
        <f t="shared" ca="1" si="17"/>
        <v>66773.082281908908</v>
      </c>
      <c r="R63" s="109">
        <f t="shared" ca="1" si="17"/>
        <v>66758.117449483543</v>
      </c>
      <c r="S63" s="109">
        <f t="shared" ca="1" si="17"/>
        <v>66773.082281908908</v>
      </c>
      <c r="T63" s="109">
        <f t="shared" ca="1" si="17"/>
        <v>66758.117449483543</v>
      </c>
      <c r="U63" s="109">
        <f t="shared" ca="1" si="17"/>
        <v>66773.082281908908</v>
      </c>
      <c r="V63" s="109">
        <f t="shared" ca="1" si="17"/>
        <v>66758.117449483543</v>
      </c>
      <c r="W63" s="110">
        <f t="shared" ca="1" si="17"/>
        <v>33386.541140954454</v>
      </c>
      <c r="X63" s="107">
        <f t="shared" ca="1" si="3"/>
        <v>1496483.2425349378</v>
      </c>
    </row>
    <row r="64" spans="1:24" ht="15" customHeight="1" x14ac:dyDescent="0.25">
      <c r="A64" s="75">
        <f>IF('Cash Flow Analysis'!C80="","",'Cash Flow Analysis'!C80)</f>
        <v>13</v>
      </c>
      <c r="B64" s="1088">
        <f ca="1">IF(A64="","",IF(A64&lt;1,0,IF(A64=1,$B$44-'Cash Flow Analysis'!I80,-'Cash Flow Analysis'!I80)))</f>
        <v>1524916.4241431011</v>
      </c>
      <c r="C64" s="108">
        <f t="shared" ref="C64:W64" ca="1" si="18">IF($B$64="","",IF(AND($B$42="Straight Line",C48&lt;=depr_length),$B$64/depr_length,IF(AND($B$42="MACRS",C48&lt;=depr_length+1),$B$64*INDEX(MACRS_Table,MATCH(C48,recovery_year,0),MATCH($B$43,recovery_period,0)),"")))</f>
        <v>57184.365905366292</v>
      </c>
      <c r="D64" s="109">
        <f t="shared" ca="1" si="18"/>
        <v>110083.71665889048</v>
      </c>
      <c r="E64" s="109">
        <f t="shared" ca="1" si="18"/>
        <v>101818.66964003486</v>
      </c>
      <c r="F64" s="109">
        <f t="shared" ca="1" si="18"/>
        <v>94194.08751931935</v>
      </c>
      <c r="G64" s="109">
        <f t="shared" ca="1" si="18"/>
        <v>87118.475311295362</v>
      </c>
      <c r="H64" s="109">
        <f t="shared" ca="1" si="18"/>
        <v>80591.833015962897</v>
      </c>
      <c r="I64" s="109">
        <f t="shared" ca="1" si="18"/>
        <v>74537.914812114788</v>
      </c>
      <c r="J64" s="109">
        <f t="shared" ca="1" si="18"/>
        <v>68956.720699751037</v>
      </c>
      <c r="K64" s="109">
        <f t="shared" ca="1" si="18"/>
        <v>68041.770845265171</v>
      </c>
      <c r="L64" s="109">
        <f t="shared" ca="1" si="18"/>
        <v>68026.521681023733</v>
      </c>
      <c r="M64" s="109">
        <f t="shared" ca="1" si="18"/>
        <v>68041.770845265171</v>
      </c>
      <c r="N64" s="109">
        <f t="shared" ca="1" si="18"/>
        <v>68026.521681023733</v>
      </c>
      <c r="O64" s="109">
        <f t="shared" ca="1" si="18"/>
        <v>68041.770845265171</v>
      </c>
      <c r="P64" s="109">
        <f t="shared" ca="1" si="18"/>
        <v>68026.521681023733</v>
      </c>
      <c r="Q64" s="109">
        <f t="shared" ca="1" si="18"/>
        <v>68041.770845265171</v>
      </c>
      <c r="R64" s="109">
        <f t="shared" ca="1" si="18"/>
        <v>68026.521681023733</v>
      </c>
      <c r="S64" s="109">
        <f t="shared" ca="1" si="18"/>
        <v>68041.770845265171</v>
      </c>
      <c r="T64" s="109">
        <f t="shared" ca="1" si="18"/>
        <v>68026.521681023733</v>
      </c>
      <c r="U64" s="109">
        <f t="shared" ca="1" si="18"/>
        <v>68041.770845265171</v>
      </c>
      <c r="V64" s="109">
        <f t="shared" ca="1" si="18"/>
        <v>68026.521681023733</v>
      </c>
      <c r="W64" s="110">
        <f t="shared" ca="1" si="18"/>
        <v>34020.885422632586</v>
      </c>
      <c r="X64" s="107">
        <f t="shared" ca="1" si="3"/>
        <v>1524916.4241431009</v>
      </c>
    </row>
    <row r="65" spans="1:24" ht="15" customHeight="1" x14ac:dyDescent="0.25">
      <c r="A65" s="75">
        <f>IF('Cash Flow Analysis'!C81="","",'Cash Flow Analysis'!C81)</f>
        <v>14</v>
      </c>
      <c r="B65" s="1088">
        <f ca="1">IF(A65="","",IF(A65&lt;1,0,IF(A65=1,$B$44-'Cash Flow Analysis'!I81,-'Cash Flow Analysis'!I81)))</f>
        <v>1553889.8362018196</v>
      </c>
      <c r="C65" s="108">
        <f t="shared" ref="C65:W65" ca="1" si="19">IF($B$65="","",IF(AND($B$42="Straight Line",C48&lt;=depr_length),$B$65/depr_length,IF(AND($B$42="MACRS",C48&lt;=depr_length+1),$B$65*INDEX(MACRS_Table,MATCH(C48,recovery_year,0),MATCH($B$43,recovery_period,0)),"")))</f>
        <v>58270.868857568232</v>
      </c>
      <c r="D65" s="109">
        <f t="shared" ca="1" si="19"/>
        <v>112175.30727540936</v>
      </c>
      <c r="E65" s="109">
        <f t="shared" ca="1" si="19"/>
        <v>103753.22436319549</v>
      </c>
      <c r="F65" s="109">
        <f t="shared" ca="1" si="19"/>
        <v>95983.775182186393</v>
      </c>
      <c r="G65" s="109">
        <f t="shared" ca="1" si="19"/>
        <v>88773.72634220995</v>
      </c>
      <c r="H65" s="109">
        <f t="shared" ca="1" si="19"/>
        <v>82123.077843266161</v>
      </c>
      <c r="I65" s="109">
        <f t="shared" ca="1" si="19"/>
        <v>75954.135193544935</v>
      </c>
      <c r="J65" s="109">
        <f t="shared" ca="1" si="19"/>
        <v>70266.898393046285</v>
      </c>
      <c r="K65" s="109">
        <f t="shared" ca="1" si="19"/>
        <v>69334.564491325189</v>
      </c>
      <c r="L65" s="109">
        <f t="shared" ca="1" si="19"/>
        <v>69319.025592963168</v>
      </c>
      <c r="M65" s="109">
        <f t="shared" ca="1" si="19"/>
        <v>69334.564491325189</v>
      </c>
      <c r="N65" s="109">
        <f t="shared" ca="1" si="19"/>
        <v>69319.025592963168</v>
      </c>
      <c r="O65" s="109">
        <f t="shared" ca="1" si="19"/>
        <v>69334.564491325189</v>
      </c>
      <c r="P65" s="109">
        <f t="shared" ca="1" si="19"/>
        <v>69319.025592963168</v>
      </c>
      <c r="Q65" s="109">
        <f t="shared" ca="1" si="19"/>
        <v>69334.564491325189</v>
      </c>
      <c r="R65" s="109">
        <f t="shared" ca="1" si="19"/>
        <v>69319.025592963168</v>
      </c>
      <c r="S65" s="109">
        <f t="shared" ca="1" si="19"/>
        <v>69334.564491325189</v>
      </c>
      <c r="T65" s="109">
        <f t="shared" ca="1" si="19"/>
        <v>69319.025592963168</v>
      </c>
      <c r="U65" s="109">
        <f t="shared" ca="1" si="19"/>
        <v>69334.564491325189</v>
      </c>
      <c r="V65" s="109">
        <f t="shared" ca="1" si="19"/>
        <v>69319.025592963168</v>
      </c>
      <c r="W65" s="110">
        <f t="shared" ca="1" si="19"/>
        <v>34667.282245662595</v>
      </c>
      <c r="X65" s="107">
        <f t="shared" ca="1" si="3"/>
        <v>1553889.8362018198</v>
      </c>
    </row>
    <row r="66" spans="1:24" ht="15" customHeight="1" x14ac:dyDescent="0.25">
      <c r="A66" s="75">
        <f>IF('Cash Flow Analysis'!C82="","",'Cash Flow Analysis'!C82)</f>
        <v>15</v>
      </c>
      <c r="B66" s="1088">
        <f ca="1">IF(A66="","",IF(A66&lt;1,0,IF(A66=1,$B$44-'Cash Flow Analysis'!I82,-'Cash Flow Analysis'!I82)))</f>
        <v>1583413.7430896547</v>
      </c>
      <c r="C66" s="108">
        <f t="shared" ref="C66:W66" ca="1" si="20">IF($B$66="","",IF(AND($B$42="Straight Line",C48&lt;=depr_length),$B$66/depr_length,IF(AND($B$42="MACRS",C48&lt;=depr_length+1),$B$66*INDEX(MACRS_Table,MATCH(C48,recovery_year,0),MATCH($B$43,recovery_period,0)),"")))</f>
        <v>59378.015365862047</v>
      </c>
      <c r="D66" s="109">
        <f t="shared" ca="1" si="20"/>
        <v>114306.63811364218</v>
      </c>
      <c r="E66" s="109">
        <f t="shared" ca="1" si="20"/>
        <v>105724.53562609624</v>
      </c>
      <c r="F66" s="109">
        <f t="shared" ca="1" si="20"/>
        <v>97807.466910647971</v>
      </c>
      <c r="G66" s="109">
        <f t="shared" ca="1" si="20"/>
        <v>90460.427142711967</v>
      </c>
      <c r="H66" s="109">
        <f t="shared" ca="1" si="20"/>
        <v>83683.416322288249</v>
      </c>
      <c r="I66" s="109">
        <f t="shared" ca="1" si="20"/>
        <v>77397.263762222326</v>
      </c>
      <c r="J66" s="109">
        <f t="shared" ca="1" si="20"/>
        <v>71601.969462514186</v>
      </c>
      <c r="K66" s="109">
        <f t="shared" ca="1" si="20"/>
        <v>70651.921216660397</v>
      </c>
      <c r="L66" s="109">
        <f t="shared" ca="1" si="20"/>
        <v>70636.087079229488</v>
      </c>
      <c r="M66" s="109">
        <f t="shared" ca="1" si="20"/>
        <v>70651.921216660397</v>
      </c>
      <c r="N66" s="109">
        <f t="shared" ca="1" si="20"/>
        <v>70636.087079229488</v>
      </c>
      <c r="O66" s="109">
        <f t="shared" ca="1" si="20"/>
        <v>70651.921216660397</v>
      </c>
      <c r="P66" s="109">
        <f t="shared" ca="1" si="20"/>
        <v>70636.087079229488</v>
      </c>
      <c r="Q66" s="109">
        <f t="shared" ca="1" si="20"/>
        <v>70651.921216660397</v>
      </c>
      <c r="R66" s="109">
        <f t="shared" ca="1" si="20"/>
        <v>70636.087079229488</v>
      </c>
      <c r="S66" s="109">
        <f t="shared" ca="1" si="20"/>
        <v>70651.921216660397</v>
      </c>
      <c r="T66" s="109">
        <f t="shared" ca="1" si="20"/>
        <v>70636.087079229488</v>
      </c>
      <c r="U66" s="109">
        <f t="shared" ca="1" si="20"/>
        <v>70651.921216660397</v>
      </c>
      <c r="V66" s="109">
        <f t="shared" ca="1" si="20"/>
        <v>70636.087079229488</v>
      </c>
      <c r="W66" s="110">
        <f t="shared" ca="1" si="20"/>
        <v>35325.960608330199</v>
      </c>
      <c r="X66" s="107">
        <f t="shared" ca="1" si="3"/>
        <v>1583413.7430896549</v>
      </c>
    </row>
    <row r="67" spans="1:24" ht="15" customHeight="1" x14ac:dyDescent="0.25">
      <c r="A67" s="75">
        <f>IF('Cash Flow Analysis'!C83="","",'Cash Flow Analysis'!C83)</f>
        <v>16</v>
      </c>
      <c r="B67" s="1088">
        <f ca="1">IF(A67="","",IF(A67&lt;1,0,IF(A67=1,$B$44-'Cash Flow Analysis'!I83,-'Cash Flow Analysis'!I83)))</f>
        <v>1613498.6042083579</v>
      </c>
      <c r="C67" s="108">
        <f t="shared" ref="C67:W67" ca="1" si="21">IF($B$67="","",IF(AND($B$42="Straight Line",C48&lt;=depr_length),$B$67/depr_length,IF(AND($B$42="MACRS",C48&lt;=depr_length+1),$B$67*INDEX(MACRS_Table,MATCH(C48,recovery_year,0),MATCH($B$43,recovery_period,0)),"")))</f>
        <v>60506.19765781342</v>
      </c>
      <c r="D67" s="109">
        <f t="shared" ca="1" si="21"/>
        <v>116478.46423780137</v>
      </c>
      <c r="E67" s="109">
        <f t="shared" ca="1" si="21"/>
        <v>107733.30180299205</v>
      </c>
      <c r="F67" s="109">
        <f t="shared" ca="1" si="21"/>
        <v>99665.808781950269</v>
      </c>
      <c r="G67" s="109">
        <f t="shared" ca="1" si="21"/>
        <v>92179.175258423478</v>
      </c>
      <c r="H67" s="109">
        <f t="shared" ca="1" si="21"/>
        <v>85273.401232411721</v>
      </c>
      <c r="I67" s="109">
        <f t="shared" ca="1" si="21"/>
        <v>78867.811773704525</v>
      </c>
      <c r="J67" s="109">
        <f t="shared" ca="1" si="21"/>
        <v>72962.406882301948</v>
      </c>
      <c r="K67" s="109">
        <f t="shared" ca="1" si="21"/>
        <v>71994.307719776931</v>
      </c>
      <c r="L67" s="109">
        <f t="shared" ca="1" si="21"/>
        <v>71978.172733734842</v>
      </c>
      <c r="M67" s="109">
        <f t="shared" ca="1" si="21"/>
        <v>71994.307719776931</v>
      </c>
      <c r="N67" s="109">
        <f t="shared" ca="1" si="21"/>
        <v>71978.172733734842</v>
      </c>
      <c r="O67" s="109">
        <f t="shared" ca="1" si="21"/>
        <v>71994.307719776931</v>
      </c>
      <c r="P67" s="109">
        <f t="shared" ca="1" si="21"/>
        <v>71978.172733734842</v>
      </c>
      <c r="Q67" s="109">
        <f t="shared" ca="1" si="21"/>
        <v>71994.307719776931</v>
      </c>
      <c r="R67" s="109">
        <f t="shared" ca="1" si="21"/>
        <v>71978.172733734842</v>
      </c>
      <c r="S67" s="109">
        <f t="shared" ca="1" si="21"/>
        <v>71994.307719776931</v>
      </c>
      <c r="T67" s="109">
        <f t="shared" ca="1" si="21"/>
        <v>71978.172733734842</v>
      </c>
      <c r="U67" s="109">
        <f t="shared" ca="1" si="21"/>
        <v>71994.307719776931</v>
      </c>
      <c r="V67" s="109">
        <f t="shared" ca="1" si="21"/>
        <v>71978.172733734842</v>
      </c>
      <c r="W67" s="110">
        <f t="shared" ca="1" si="21"/>
        <v>35997.153859888465</v>
      </c>
      <c r="X67" s="107">
        <f t="shared" ca="1" si="3"/>
        <v>1613498.6042083574</v>
      </c>
    </row>
    <row r="68" spans="1:24" ht="15" customHeight="1" x14ac:dyDescent="0.25">
      <c r="A68" s="75">
        <f>IF('Cash Flow Analysis'!C84="","",'Cash Flow Analysis'!C84)</f>
        <v>17</v>
      </c>
      <c r="B68" s="1088">
        <f ca="1">IF(A68="","",IF(A68&lt;1,0,IF(A68=1,$B$44-'Cash Flow Analysis'!I84,-'Cash Flow Analysis'!I84)))</f>
        <v>1644155.0776883166</v>
      </c>
      <c r="C68" s="108">
        <f t="shared" ref="C68:W68" ca="1" si="22">IF($B$68="","",IF(AND($B$42="Straight Line",C48&lt;=depr_length),$B$68/depr_length,IF(AND($B$42="MACRS",C48&lt;=depr_length+1),$B$68*INDEX(MACRS_Table,MATCH(C48,recovery_year,0),MATCH($B$43,recovery_period,0)),"")))</f>
        <v>61655.815413311866</v>
      </c>
      <c r="D68" s="109">
        <f t="shared" ca="1" si="22"/>
        <v>118691.55505831959</v>
      </c>
      <c r="E68" s="109">
        <f t="shared" ca="1" si="22"/>
        <v>109780.23453724889</v>
      </c>
      <c r="F68" s="109">
        <f t="shared" ca="1" si="22"/>
        <v>101559.45914880731</v>
      </c>
      <c r="G68" s="109">
        <f t="shared" ca="1" si="22"/>
        <v>93930.579588333523</v>
      </c>
      <c r="H68" s="109">
        <f t="shared" ca="1" si="22"/>
        <v>86893.595855827531</v>
      </c>
      <c r="I68" s="109">
        <f t="shared" ca="1" si="22"/>
        <v>80366.300197404911</v>
      </c>
      <c r="J68" s="109">
        <f t="shared" ca="1" si="22"/>
        <v>74348.692613065679</v>
      </c>
      <c r="K68" s="109">
        <f t="shared" ca="1" si="22"/>
        <v>73362.199566452691</v>
      </c>
      <c r="L68" s="109">
        <f t="shared" ca="1" si="22"/>
        <v>73345.75801567579</v>
      </c>
      <c r="M68" s="109">
        <f t="shared" ca="1" si="22"/>
        <v>73362.199566452691</v>
      </c>
      <c r="N68" s="109">
        <f t="shared" ca="1" si="22"/>
        <v>73345.75801567579</v>
      </c>
      <c r="O68" s="109">
        <f t="shared" ca="1" si="22"/>
        <v>73362.199566452691</v>
      </c>
      <c r="P68" s="109">
        <f t="shared" ca="1" si="22"/>
        <v>73345.75801567579</v>
      </c>
      <c r="Q68" s="109">
        <f t="shared" ca="1" si="22"/>
        <v>73362.199566452691</v>
      </c>
      <c r="R68" s="109">
        <f t="shared" ca="1" si="22"/>
        <v>73345.75801567579</v>
      </c>
      <c r="S68" s="109">
        <f t="shared" ca="1" si="22"/>
        <v>73362.199566452691</v>
      </c>
      <c r="T68" s="109">
        <f t="shared" ca="1" si="22"/>
        <v>73345.75801567579</v>
      </c>
      <c r="U68" s="109">
        <f t="shared" ca="1" si="22"/>
        <v>73362.199566452691</v>
      </c>
      <c r="V68" s="109">
        <f t="shared" ca="1" si="22"/>
        <v>73345.75801567579</v>
      </c>
      <c r="W68" s="110">
        <f t="shared" ca="1" si="22"/>
        <v>36681.099783226346</v>
      </c>
      <c r="X68" s="107">
        <f t="shared" ca="1" si="3"/>
        <v>1644155.0776883166</v>
      </c>
    </row>
    <row r="69" spans="1:24" ht="15" customHeight="1" x14ac:dyDescent="0.25">
      <c r="A69" s="75">
        <f>IF('Cash Flow Analysis'!C85="","",'Cash Flow Analysis'!C85)</f>
        <v>18</v>
      </c>
      <c r="B69" s="1088">
        <f ca="1">IF(A69="","",IF(A69&lt;1,0,IF(A69=1,$B$44-'Cash Flow Analysis'!I85,-'Cash Flow Analysis'!I85)))</f>
        <v>1675394.0241643947</v>
      </c>
      <c r="C69" s="108">
        <f t="shared" ref="C69:W69" ca="1" si="23">IF($B$69="","",IF(AND($B$42="Straight Line",C48&lt;=depr_length),$B$69/depr_length,IF(AND($B$42="MACRS",C48&lt;=depr_length+1),$B$69*INDEX(MACRS_Table,MATCH(C48,recovery_year,0),MATCH($B$43,recovery_period,0)),"")))</f>
        <v>62827.275906164796</v>
      </c>
      <c r="D69" s="109">
        <f t="shared" ca="1" si="23"/>
        <v>120946.69460442766</v>
      </c>
      <c r="E69" s="109">
        <f t="shared" ca="1" si="23"/>
        <v>111866.05899345662</v>
      </c>
      <c r="F69" s="109">
        <f t="shared" ca="1" si="23"/>
        <v>103489.08887263466</v>
      </c>
      <c r="G69" s="109">
        <f t="shared" ca="1" si="23"/>
        <v>95715.260600511872</v>
      </c>
      <c r="H69" s="109">
        <f t="shared" ca="1" si="23"/>
        <v>88544.57417708826</v>
      </c>
      <c r="I69" s="109">
        <f t="shared" ca="1" si="23"/>
        <v>81893.259901155616</v>
      </c>
      <c r="J69" s="109">
        <f t="shared" ca="1" si="23"/>
        <v>75761.317772713941</v>
      </c>
      <c r="K69" s="109">
        <f t="shared" ca="1" si="23"/>
        <v>74756.081358215291</v>
      </c>
      <c r="L69" s="109">
        <f t="shared" ca="1" si="23"/>
        <v>74739.327417973647</v>
      </c>
      <c r="M69" s="109">
        <f t="shared" ca="1" si="23"/>
        <v>74756.081358215291</v>
      </c>
      <c r="N69" s="109">
        <f t="shared" ca="1" si="23"/>
        <v>74739.327417973647</v>
      </c>
      <c r="O69" s="109">
        <f t="shared" ca="1" si="23"/>
        <v>74756.081358215291</v>
      </c>
      <c r="P69" s="109">
        <f t="shared" ca="1" si="23"/>
        <v>74739.327417973647</v>
      </c>
      <c r="Q69" s="109">
        <f t="shared" ca="1" si="23"/>
        <v>74756.081358215291</v>
      </c>
      <c r="R69" s="109">
        <f t="shared" ca="1" si="23"/>
        <v>74739.327417973647</v>
      </c>
      <c r="S69" s="109">
        <f t="shared" ca="1" si="23"/>
        <v>74756.081358215291</v>
      </c>
      <c r="T69" s="109">
        <f t="shared" ca="1" si="23"/>
        <v>74739.327417973647</v>
      </c>
      <c r="U69" s="109">
        <f t="shared" ca="1" si="23"/>
        <v>74756.081358215291</v>
      </c>
      <c r="V69" s="109">
        <f t="shared" ca="1" si="23"/>
        <v>74739.327417973647</v>
      </c>
      <c r="W69" s="110">
        <f t="shared" ca="1" si="23"/>
        <v>37378.040679107646</v>
      </c>
      <c r="X69" s="107">
        <f t="shared" ca="1" si="3"/>
        <v>1675394.0241643949</v>
      </c>
    </row>
    <row r="70" spans="1:24" ht="15" customHeight="1" x14ac:dyDescent="0.25">
      <c r="A70" s="75">
        <f>IF('Cash Flow Analysis'!C86="","",'Cash Flow Analysis'!C86)</f>
        <v>19</v>
      </c>
      <c r="B70" s="1088">
        <f ca="1">IF(A70="","",IF(A70&lt;1,0,IF(A70=1,$B$44-'Cash Flow Analysis'!I86,-'Cash Flow Analysis'!I86)))</f>
        <v>1707226.5106235179</v>
      </c>
      <c r="C70" s="108">
        <f t="shared" ref="C70:W70" ca="1" si="24">IF($B$70="","",IF(AND($B$42="Straight Line",C48&lt;=depr_length),$B$70/depr_length,IF(AND($B$42="MACRS",C48&lt;=depr_length+1),$B$70*INDEX(MACRS_Table,MATCH(C48,recovery_year,0),MATCH($B$43,recovery_period,0)),"")))</f>
        <v>64020.99414838192</v>
      </c>
      <c r="D70" s="109">
        <f t="shared" ca="1" si="24"/>
        <v>123244.68180191176</v>
      </c>
      <c r="E70" s="109">
        <f t="shared" ca="1" si="24"/>
        <v>113991.51411433228</v>
      </c>
      <c r="F70" s="109">
        <f t="shared" ca="1" si="24"/>
        <v>105455.3815612147</v>
      </c>
      <c r="G70" s="109">
        <f t="shared" ca="1" si="24"/>
        <v>97533.850551921583</v>
      </c>
      <c r="H70" s="109">
        <f t="shared" ca="1" si="24"/>
        <v>90226.92108645293</v>
      </c>
      <c r="I70" s="109">
        <f t="shared" ca="1" si="24"/>
        <v>83449.231839277549</v>
      </c>
      <c r="J70" s="109">
        <f t="shared" ca="1" si="24"/>
        <v>77200.782810395482</v>
      </c>
      <c r="K70" s="109">
        <f t="shared" ca="1" si="24"/>
        <v>76176.446904021373</v>
      </c>
      <c r="L70" s="109">
        <f t="shared" ca="1" si="24"/>
        <v>76159.374638915135</v>
      </c>
      <c r="M70" s="109">
        <f t="shared" ca="1" si="24"/>
        <v>76176.446904021373</v>
      </c>
      <c r="N70" s="109">
        <f t="shared" ca="1" si="24"/>
        <v>76159.374638915135</v>
      </c>
      <c r="O70" s="109">
        <f t="shared" ca="1" si="24"/>
        <v>76176.446904021373</v>
      </c>
      <c r="P70" s="109">
        <f t="shared" ca="1" si="24"/>
        <v>76159.374638915135</v>
      </c>
      <c r="Q70" s="109">
        <f t="shared" ca="1" si="24"/>
        <v>76176.446904021373</v>
      </c>
      <c r="R70" s="109">
        <f t="shared" ca="1" si="24"/>
        <v>76159.374638915135</v>
      </c>
      <c r="S70" s="109">
        <f t="shared" ca="1" si="24"/>
        <v>76176.446904021373</v>
      </c>
      <c r="T70" s="109">
        <f t="shared" ca="1" si="24"/>
        <v>76159.374638915135</v>
      </c>
      <c r="U70" s="109">
        <f t="shared" ca="1" si="24"/>
        <v>76176.446904021373</v>
      </c>
      <c r="V70" s="109">
        <f t="shared" ca="1" si="24"/>
        <v>76159.374638915135</v>
      </c>
      <c r="W70" s="110">
        <f t="shared" ca="1" si="24"/>
        <v>38088.223452010687</v>
      </c>
      <c r="X70" s="107">
        <f t="shared" ca="1" si="3"/>
        <v>1707226.5106235174</v>
      </c>
    </row>
    <row r="71" spans="1:24" ht="15" customHeight="1" x14ac:dyDescent="0.25">
      <c r="A71" s="75">
        <f>IF('Cash Flow Analysis'!C87="","",'Cash Flow Analysis'!C87)</f>
        <v>20</v>
      </c>
      <c r="B71" s="1088">
        <f ca="1">IF(A71="","",IF(A71&lt;1,0,IF(A71=1,$B$44-'Cash Flow Analysis'!I87,-'Cash Flow Analysis'!I87)))</f>
        <v>1739663.8143253648</v>
      </c>
      <c r="C71" s="108">
        <f t="shared" ref="C71:W71" ca="1" si="25">IF($B$71="","",IF(AND($B$42="Straight Line",C48&lt;=depr_length),$B$71/depr_length,IF(AND($B$42="MACRS",C48&lt;=depr_length+1),$B$71*INDEX(MACRS_Table,MATCH(C48,recovery_year,0),MATCH($B$43,recovery_period,0)),"")))</f>
        <v>65237.393037201175</v>
      </c>
      <c r="D71" s="109">
        <f t="shared" ca="1" si="25"/>
        <v>125586.33075614809</v>
      </c>
      <c r="E71" s="109">
        <f t="shared" ca="1" si="25"/>
        <v>116157.35288250459</v>
      </c>
      <c r="F71" s="109">
        <f t="shared" ca="1" si="25"/>
        <v>107459.03381087778</v>
      </c>
      <c r="G71" s="109">
        <f t="shared" ca="1" si="25"/>
        <v>99386.99371240809</v>
      </c>
      <c r="H71" s="109">
        <f t="shared" ca="1" si="25"/>
        <v>91941.232587095525</v>
      </c>
      <c r="I71" s="109">
        <f t="shared" ca="1" si="25"/>
        <v>85034.767244223825</v>
      </c>
      <c r="J71" s="109">
        <f t="shared" ca="1" si="25"/>
        <v>78667.597683793007</v>
      </c>
      <c r="K71" s="109">
        <f t="shared" ca="1" si="25"/>
        <v>77623.79939519777</v>
      </c>
      <c r="L71" s="109">
        <f t="shared" ca="1" si="25"/>
        <v>77606.402757054515</v>
      </c>
      <c r="M71" s="109">
        <f t="shared" ca="1" si="25"/>
        <v>77623.79939519777</v>
      </c>
      <c r="N71" s="109">
        <f t="shared" ca="1" si="25"/>
        <v>77606.402757054515</v>
      </c>
      <c r="O71" s="109">
        <f t="shared" ca="1" si="25"/>
        <v>77623.79939519777</v>
      </c>
      <c r="P71" s="109">
        <f t="shared" ca="1" si="25"/>
        <v>77606.402757054515</v>
      </c>
      <c r="Q71" s="109">
        <f t="shared" ca="1" si="25"/>
        <v>77623.79939519777</v>
      </c>
      <c r="R71" s="109">
        <f t="shared" ca="1" si="25"/>
        <v>77606.402757054515</v>
      </c>
      <c r="S71" s="109">
        <f t="shared" ca="1" si="25"/>
        <v>77623.79939519777</v>
      </c>
      <c r="T71" s="109">
        <f t="shared" ca="1" si="25"/>
        <v>77606.402757054515</v>
      </c>
      <c r="U71" s="109">
        <f t="shared" ca="1" si="25"/>
        <v>77623.79939519777</v>
      </c>
      <c r="V71" s="109">
        <f t="shared" ca="1" si="25"/>
        <v>77606.402757054515</v>
      </c>
      <c r="W71" s="110">
        <f t="shared" ca="1" si="25"/>
        <v>38811.899697598885</v>
      </c>
      <c r="X71" s="107">
        <f t="shared" ca="1" si="3"/>
        <v>1739663.8143253643</v>
      </c>
    </row>
    <row r="72" spans="1:24" ht="15" customHeight="1" x14ac:dyDescent="0.25">
      <c r="A72" s="75">
        <f>IF('Cash Flow Analysis'!C88="","",'Cash Flow Analysis'!C88)</f>
        <v>21</v>
      </c>
      <c r="B72" s="1088">
        <f ca="1">IF(A72="","",IF(A72&lt;1,0,IF(A72=1,$B$44-'Cash Flow Analysis'!I88,-'Cash Flow Analysis'!I88)))</f>
        <v>1772717.4267975467</v>
      </c>
      <c r="C72" s="108">
        <f t="shared" ref="C72:W72" ca="1" si="26">IF($B$72="","",IF(AND($B$42="Straight Line",C48&lt;=depr_length),$B$72/depr_length,IF(AND($B$42="MACRS",C48&lt;=depr_length+1),$B$72*INDEX(MACRS_Table,MATCH(C48,recovery_year,0),MATCH($B$43,recovery_period,0)),"")))</f>
        <v>66476.903504907998</v>
      </c>
      <c r="D72" s="109">
        <f t="shared" ca="1" si="26"/>
        <v>127972.47104051491</v>
      </c>
      <c r="E72" s="109">
        <f t="shared" ca="1" si="26"/>
        <v>118364.34258727219</v>
      </c>
      <c r="F72" s="109">
        <f t="shared" ca="1" si="26"/>
        <v>109500.75545328445</v>
      </c>
      <c r="G72" s="109">
        <f t="shared" ca="1" si="26"/>
        <v>101275.34659294384</v>
      </c>
      <c r="H72" s="109">
        <f t="shared" ca="1" si="26"/>
        <v>93688.116006250348</v>
      </c>
      <c r="I72" s="109">
        <f t="shared" ca="1" si="26"/>
        <v>86650.427821864083</v>
      </c>
      <c r="J72" s="109">
        <f t="shared" ca="1" si="26"/>
        <v>80162.282039785074</v>
      </c>
      <c r="K72" s="109">
        <f t="shared" ca="1" si="26"/>
        <v>79098.651583706538</v>
      </c>
      <c r="L72" s="109">
        <f t="shared" ca="1" si="26"/>
        <v>79080.92440943855</v>
      </c>
      <c r="M72" s="109">
        <f t="shared" ca="1" si="26"/>
        <v>79098.651583706538</v>
      </c>
      <c r="N72" s="109">
        <f t="shared" ca="1" si="26"/>
        <v>79080.92440943855</v>
      </c>
      <c r="O72" s="109">
        <f t="shared" ca="1" si="26"/>
        <v>79098.651583706538</v>
      </c>
      <c r="P72" s="109">
        <f t="shared" ca="1" si="26"/>
        <v>79080.92440943855</v>
      </c>
      <c r="Q72" s="109">
        <f t="shared" ca="1" si="26"/>
        <v>79098.651583706538</v>
      </c>
      <c r="R72" s="109">
        <f t="shared" ca="1" si="26"/>
        <v>79080.92440943855</v>
      </c>
      <c r="S72" s="109">
        <f t="shared" ca="1" si="26"/>
        <v>79098.651583706538</v>
      </c>
      <c r="T72" s="109">
        <f t="shared" ca="1" si="26"/>
        <v>79080.92440943855</v>
      </c>
      <c r="U72" s="109">
        <f t="shared" ca="1" si="26"/>
        <v>79098.651583706538</v>
      </c>
      <c r="V72" s="109">
        <f t="shared" ca="1" si="26"/>
        <v>79080.92440943855</v>
      </c>
      <c r="W72" s="110">
        <f t="shared" ca="1" si="26"/>
        <v>39549.325791853269</v>
      </c>
      <c r="X72" s="107">
        <f t="shared" ca="1" si="3"/>
        <v>1772717.4267975464</v>
      </c>
    </row>
    <row r="73" spans="1:24" ht="15" customHeight="1" x14ac:dyDescent="0.25">
      <c r="A73" s="75">
        <f>IF('Cash Flow Analysis'!C89="","",'Cash Flow Analysis'!C89)</f>
        <v>22</v>
      </c>
      <c r="B73" s="1088">
        <f ca="1">IF(A73="","",IF(A73&lt;1,0,IF(A73=1,$B$44-'Cash Flow Analysis'!I89,-'Cash Flow Analysis'!I89)))</f>
        <v>1806399.0579066998</v>
      </c>
      <c r="C73" s="108">
        <f t="shared" ref="C73:W73" ca="1" si="27">IF($B$73="","",IF(AND($B$42="Straight Line",C48&lt;=depr_length),$B$73/depr_length,IF(AND($B$42="MACRS",C48&lt;=depr_length+1),$B$73*INDEX(MACRS_Table,MATCH(C48,recovery_year,0),MATCH($B$43,recovery_period,0)),"")))</f>
        <v>67739.964671501235</v>
      </c>
      <c r="D73" s="109">
        <f t="shared" ca="1" si="27"/>
        <v>130403.94799028467</v>
      </c>
      <c r="E73" s="109">
        <f t="shared" ca="1" si="27"/>
        <v>120613.26509643035</v>
      </c>
      <c r="F73" s="109">
        <f t="shared" ca="1" si="27"/>
        <v>111581.26980689685</v>
      </c>
      <c r="G73" s="109">
        <f t="shared" ca="1" si="27"/>
        <v>103199.57817820976</v>
      </c>
      <c r="H73" s="109">
        <f t="shared" ca="1" si="27"/>
        <v>95468.190210369095</v>
      </c>
      <c r="I73" s="109">
        <f t="shared" ca="1" si="27"/>
        <v>88296.785950479491</v>
      </c>
      <c r="J73" s="109">
        <f t="shared" ca="1" si="27"/>
        <v>81685.365398540976</v>
      </c>
      <c r="K73" s="109">
        <f t="shared" ca="1" si="27"/>
        <v>80601.525963796943</v>
      </c>
      <c r="L73" s="109">
        <f t="shared" ca="1" si="27"/>
        <v>80583.461973217869</v>
      </c>
      <c r="M73" s="109">
        <f t="shared" ca="1" si="27"/>
        <v>80601.525963796943</v>
      </c>
      <c r="N73" s="109">
        <f t="shared" ca="1" si="27"/>
        <v>80583.461973217869</v>
      </c>
      <c r="O73" s="109">
        <f t="shared" ca="1" si="27"/>
        <v>80601.525963796943</v>
      </c>
      <c r="P73" s="109">
        <f t="shared" ca="1" si="27"/>
        <v>80583.461973217869</v>
      </c>
      <c r="Q73" s="109">
        <f t="shared" ca="1" si="27"/>
        <v>80601.525963796943</v>
      </c>
      <c r="R73" s="109">
        <f t="shared" ca="1" si="27"/>
        <v>80583.461973217869</v>
      </c>
      <c r="S73" s="109">
        <f t="shared" ca="1" si="27"/>
        <v>80601.525963796943</v>
      </c>
      <c r="T73" s="109">
        <f t="shared" ca="1" si="27"/>
        <v>80583.461973217869</v>
      </c>
      <c r="U73" s="109">
        <f t="shared" ca="1" si="27"/>
        <v>80601.525963796943</v>
      </c>
      <c r="V73" s="109">
        <f t="shared" ca="1" si="27"/>
        <v>80583.461973217869</v>
      </c>
      <c r="W73" s="110">
        <f t="shared" ca="1" si="27"/>
        <v>40300.762981898471</v>
      </c>
      <c r="X73" s="107">
        <f t="shared" ca="1" si="3"/>
        <v>1806399.0579066994</v>
      </c>
    </row>
    <row r="74" spans="1:24" ht="15" customHeight="1" x14ac:dyDescent="0.25">
      <c r="A74" s="75">
        <f>IF('Cash Flow Analysis'!C90="","",'Cash Flow Analysis'!C90)</f>
        <v>23</v>
      </c>
      <c r="B74" s="1088">
        <f ca="1">IF(A74="","",IF(A74&lt;1,0,IF(A74=1,$B$44-'Cash Flow Analysis'!I90,-'Cash Flow Analysis'!I90)))</f>
        <v>1840720.6400069273</v>
      </c>
      <c r="C74" s="108">
        <f t="shared" ref="C74:W74" ca="1" si="28">IF($B$74="","",IF(AND($B$42="Straight Line",C48&lt;=depr_length),$B$74/depr_length,IF(AND($B$42="MACRS",C48&lt;=depr_length+1),$B$74*INDEX(MACRS_Table,MATCH(C48,recovery_year,0),MATCH($B$43,recovery_period,0)),"")))</f>
        <v>69027.024000259771</v>
      </c>
      <c r="D74" s="109">
        <f t="shared" ca="1" si="28"/>
        <v>132881.6230021001</v>
      </c>
      <c r="E74" s="109">
        <f t="shared" ca="1" si="28"/>
        <v>122904.91713326253</v>
      </c>
      <c r="F74" s="109">
        <f t="shared" ca="1" si="28"/>
        <v>113701.3139332279</v>
      </c>
      <c r="G74" s="109">
        <f t="shared" ca="1" si="28"/>
        <v>105160.37016359576</v>
      </c>
      <c r="H74" s="109">
        <f t="shared" ca="1" si="28"/>
        <v>97282.085824366106</v>
      </c>
      <c r="I74" s="109">
        <f t="shared" ca="1" si="28"/>
        <v>89974.42488353861</v>
      </c>
      <c r="J74" s="109">
        <f t="shared" ca="1" si="28"/>
        <v>83237.387341113252</v>
      </c>
      <c r="K74" s="109">
        <f t="shared" ca="1" si="28"/>
        <v>82132.95495710909</v>
      </c>
      <c r="L74" s="109">
        <f t="shared" ca="1" si="28"/>
        <v>82114.547750709025</v>
      </c>
      <c r="M74" s="109">
        <f t="shared" ca="1" si="28"/>
        <v>82132.95495710909</v>
      </c>
      <c r="N74" s="109">
        <f t="shared" ca="1" si="28"/>
        <v>82114.547750709025</v>
      </c>
      <c r="O74" s="109">
        <f t="shared" ca="1" si="28"/>
        <v>82132.95495710909</v>
      </c>
      <c r="P74" s="109">
        <f t="shared" ca="1" si="28"/>
        <v>82114.547750709025</v>
      </c>
      <c r="Q74" s="109">
        <f t="shared" ca="1" si="28"/>
        <v>82132.95495710909</v>
      </c>
      <c r="R74" s="109">
        <f t="shared" ca="1" si="28"/>
        <v>82114.547750709025</v>
      </c>
      <c r="S74" s="109">
        <f t="shared" ca="1" si="28"/>
        <v>82132.95495710909</v>
      </c>
      <c r="T74" s="109">
        <f t="shared" ca="1" si="28"/>
        <v>82114.547750709025</v>
      </c>
      <c r="U74" s="109">
        <f t="shared" ca="1" si="28"/>
        <v>82132.95495710909</v>
      </c>
      <c r="V74" s="109">
        <f t="shared" ca="1" si="28"/>
        <v>82114.547750709025</v>
      </c>
      <c r="W74" s="110">
        <f t="shared" ca="1" si="28"/>
        <v>41066.477478554545</v>
      </c>
      <c r="X74" s="107">
        <f t="shared" ca="1" si="3"/>
        <v>1840720.640006928</v>
      </c>
    </row>
    <row r="75" spans="1:24" ht="15" customHeight="1" x14ac:dyDescent="0.25">
      <c r="A75" s="75">
        <f>IF('Cash Flow Analysis'!C91="","",'Cash Flow Analysis'!C91)</f>
        <v>24</v>
      </c>
      <c r="B75" s="1088">
        <f ca="1">IF(A75="","",IF(A75&lt;1,0,IF(A75=1,$B$44-'Cash Flow Analysis'!I91,-'Cash Flow Analysis'!I91)))</f>
        <v>1875694.3321670587</v>
      </c>
      <c r="C75" s="108">
        <f t="shared" ref="C75:W75" ca="1" si="29">IF($B$75="","",IF(AND($B$42="Straight Line",C48&lt;=depr_length),$B$75/depr_length,IF(AND($B$42="MACRS",C48&lt;=depr_length+1),$B$75*INDEX(MACRS_Table,MATCH(C48,recovery_year,0),MATCH($B$43,recovery_period,0)),"")))</f>
        <v>70338.537456264705</v>
      </c>
      <c r="D75" s="109">
        <f t="shared" ca="1" si="29"/>
        <v>135406.37383913997</v>
      </c>
      <c r="E75" s="109">
        <f t="shared" ca="1" si="29"/>
        <v>125240.11055879451</v>
      </c>
      <c r="F75" s="109">
        <f t="shared" ca="1" si="29"/>
        <v>115861.63889795922</v>
      </c>
      <c r="G75" s="109">
        <f t="shared" ca="1" si="29"/>
        <v>107158.41719670406</v>
      </c>
      <c r="H75" s="109">
        <f t="shared" ca="1" si="29"/>
        <v>99130.445455029054</v>
      </c>
      <c r="I75" s="109">
        <f t="shared" ca="1" si="29"/>
        <v>91683.93895632583</v>
      </c>
      <c r="J75" s="109">
        <f t="shared" ca="1" si="29"/>
        <v>84818.897700594403</v>
      </c>
      <c r="K75" s="109">
        <f t="shared" ca="1" si="29"/>
        <v>83693.481101294165</v>
      </c>
      <c r="L75" s="109">
        <f t="shared" ca="1" si="29"/>
        <v>83674.72415797248</v>
      </c>
      <c r="M75" s="109">
        <f t="shared" ca="1" si="29"/>
        <v>83693.481101294165</v>
      </c>
      <c r="N75" s="109">
        <f t="shared" ca="1" si="29"/>
        <v>83674.72415797248</v>
      </c>
      <c r="O75" s="109">
        <f t="shared" ca="1" si="29"/>
        <v>83693.481101294165</v>
      </c>
      <c r="P75" s="109">
        <f t="shared" ca="1" si="29"/>
        <v>83674.72415797248</v>
      </c>
      <c r="Q75" s="109">
        <f t="shared" ca="1" si="29"/>
        <v>83693.481101294165</v>
      </c>
      <c r="R75" s="109">
        <f t="shared" ca="1" si="29"/>
        <v>83674.72415797248</v>
      </c>
      <c r="S75" s="109">
        <f t="shared" ca="1" si="29"/>
        <v>83693.481101294165</v>
      </c>
      <c r="T75" s="109">
        <f t="shared" ca="1" si="29"/>
        <v>83674.72415797248</v>
      </c>
      <c r="U75" s="109">
        <f t="shared" ca="1" si="29"/>
        <v>83693.481101294165</v>
      </c>
      <c r="V75" s="109">
        <f t="shared" ca="1" si="29"/>
        <v>83674.72415797248</v>
      </c>
      <c r="W75" s="110">
        <f t="shared" ca="1" si="29"/>
        <v>41846.740550647082</v>
      </c>
      <c r="X75" s="107">
        <f t="shared" ca="1" si="3"/>
        <v>1875694.332167059</v>
      </c>
    </row>
    <row r="76" spans="1:24" ht="15" customHeight="1" x14ac:dyDescent="0.25">
      <c r="A76" s="75">
        <f>IF('Cash Flow Analysis'!C92="","",'Cash Flow Analysis'!C92)</f>
        <v>25</v>
      </c>
      <c r="B76" s="1088">
        <f ca="1">IF(A76="","",IF(A76&lt;1,0,IF(A76=1,$B$44-'Cash Flow Analysis'!I92,-'Cash Flow Analysis'!I92)))</f>
        <v>1911332.5244782327</v>
      </c>
      <c r="C76" s="108">
        <f t="shared" ref="C76:W76" ca="1" si="30">IF($B$76="","",IF(AND($B$42="Straight Line",C48&lt;=depr_length),$B$76/depr_length,IF(AND($B$42="MACRS",C48&lt;=depr_length+1),$B$76*INDEX(MACRS_Table,MATCH(C48,recovery_year,0),MATCH($B$43,recovery_period,0)),"")))</f>
        <v>71674.969667933721</v>
      </c>
      <c r="D76" s="109">
        <f t="shared" ca="1" si="30"/>
        <v>137979.09494208364</v>
      </c>
      <c r="E76" s="109">
        <f t="shared" ca="1" si="30"/>
        <v>127619.67265941159</v>
      </c>
      <c r="F76" s="109">
        <f t="shared" ca="1" si="30"/>
        <v>118063.01003702043</v>
      </c>
      <c r="G76" s="109">
        <f t="shared" ca="1" si="30"/>
        <v>109194.42712344143</v>
      </c>
      <c r="H76" s="109">
        <f t="shared" ca="1" si="30"/>
        <v>101013.9239186746</v>
      </c>
      <c r="I76" s="109">
        <f t="shared" ca="1" si="30"/>
        <v>93425.933796496014</v>
      </c>
      <c r="J76" s="109">
        <f t="shared" ca="1" si="30"/>
        <v>86430.456756905696</v>
      </c>
      <c r="K76" s="109">
        <f t="shared" ca="1" si="30"/>
        <v>85283.657242218746</v>
      </c>
      <c r="L76" s="109">
        <f t="shared" ca="1" si="30"/>
        <v>85264.543916973955</v>
      </c>
      <c r="M76" s="109">
        <f t="shared" ca="1" si="30"/>
        <v>85283.657242218746</v>
      </c>
      <c r="N76" s="109">
        <f t="shared" ca="1" si="30"/>
        <v>85264.543916973955</v>
      </c>
      <c r="O76" s="109">
        <f t="shared" ca="1" si="30"/>
        <v>85283.657242218746</v>
      </c>
      <c r="P76" s="109">
        <f t="shared" ca="1" si="30"/>
        <v>85264.543916973955</v>
      </c>
      <c r="Q76" s="109">
        <f t="shared" ca="1" si="30"/>
        <v>85283.657242218746</v>
      </c>
      <c r="R76" s="109">
        <f t="shared" ca="1" si="30"/>
        <v>85264.543916973955</v>
      </c>
      <c r="S76" s="109">
        <f t="shared" ca="1" si="30"/>
        <v>85283.657242218746</v>
      </c>
      <c r="T76" s="109">
        <f t="shared" ca="1" si="30"/>
        <v>85264.543916973955</v>
      </c>
      <c r="U76" s="109">
        <f t="shared" ca="1" si="30"/>
        <v>85283.657242218746</v>
      </c>
      <c r="V76" s="109">
        <f t="shared" ca="1" si="30"/>
        <v>85264.543916973955</v>
      </c>
      <c r="W76" s="110">
        <f t="shared" ca="1" si="30"/>
        <v>42641.828621109373</v>
      </c>
      <c r="X76" s="107">
        <f t="shared" ca="1" si="3"/>
        <v>1911332.524478233</v>
      </c>
    </row>
    <row r="77" spans="1:24" ht="15" customHeight="1" x14ac:dyDescent="0.25">
      <c r="A77" s="75">
        <f>IF('Cash Flow Analysis'!C93="","",'Cash Flow Analysis'!C93)</f>
        <v>26</v>
      </c>
      <c r="B77" s="1088">
        <f ca="1">IF(A77="","",IF(A77&lt;1,0,IF(A77=1,$B$44-'Cash Flow Analysis'!I93,-'Cash Flow Analysis'!I93)))</f>
        <v>1947647.842443319</v>
      </c>
      <c r="C77" s="108">
        <f t="shared" ref="C77:W77" ca="1" si="31">IF($B$77="","",IF(AND($B$42="Straight Line",C48&lt;=depr_length),$B$77/depr_length,IF(AND($B$42="MACRS",C48&lt;=depr_length+1),$B$77*INDEX(MACRS_Table,MATCH(C48,recovery_year,0),MATCH($B$43,recovery_period,0)),"")))</f>
        <v>73036.794091624455</v>
      </c>
      <c r="D77" s="109">
        <f t="shared" ca="1" si="31"/>
        <v>140600.6977459832</v>
      </c>
      <c r="E77" s="109">
        <f t="shared" ca="1" si="31"/>
        <v>130044.44643994041</v>
      </c>
      <c r="F77" s="109">
        <f t="shared" ca="1" si="31"/>
        <v>120306.20722772382</v>
      </c>
      <c r="G77" s="109">
        <f t="shared" ca="1" si="31"/>
        <v>111269.12123878681</v>
      </c>
      <c r="H77" s="109">
        <f t="shared" ca="1" si="31"/>
        <v>102933.18847312941</v>
      </c>
      <c r="I77" s="109">
        <f t="shared" ca="1" si="31"/>
        <v>95201.026538629434</v>
      </c>
      <c r="J77" s="109">
        <f t="shared" ca="1" si="31"/>
        <v>88072.635435286895</v>
      </c>
      <c r="K77" s="109">
        <f t="shared" ca="1" si="31"/>
        <v>86904.046729820897</v>
      </c>
      <c r="L77" s="109">
        <f t="shared" ca="1" si="31"/>
        <v>86884.57025139645</v>
      </c>
      <c r="M77" s="109">
        <f t="shared" ca="1" si="31"/>
        <v>86904.046729820897</v>
      </c>
      <c r="N77" s="109">
        <f t="shared" ca="1" si="31"/>
        <v>86884.57025139645</v>
      </c>
      <c r="O77" s="109">
        <f t="shared" ca="1" si="31"/>
        <v>86904.046729820897</v>
      </c>
      <c r="P77" s="109">
        <f t="shared" ca="1" si="31"/>
        <v>86884.57025139645</v>
      </c>
      <c r="Q77" s="109">
        <f t="shared" ca="1" si="31"/>
        <v>86904.046729820897</v>
      </c>
      <c r="R77" s="109">
        <f t="shared" ca="1" si="31"/>
        <v>86884.57025139645</v>
      </c>
      <c r="S77" s="109">
        <f t="shared" ca="1" si="31"/>
        <v>86904.046729820897</v>
      </c>
      <c r="T77" s="109">
        <f t="shared" ca="1" si="31"/>
        <v>86884.57025139645</v>
      </c>
      <c r="U77" s="109">
        <f t="shared" ca="1" si="31"/>
        <v>86904.046729820897</v>
      </c>
      <c r="V77" s="109">
        <f t="shared" ca="1" si="31"/>
        <v>86884.57025139645</v>
      </c>
      <c r="W77" s="110">
        <f t="shared" ca="1" si="31"/>
        <v>43452.023364910448</v>
      </c>
      <c r="X77" s="107">
        <f t="shared" ca="1" si="3"/>
        <v>1947647.8424433181</v>
      </c>
    </row>
    <row r="78" spans="1:24" ht="15" customHeight="1" x14ac:dyDescent="0.25">
      <c r="A78" s="75">
        <f>IF('Cash Flow Analysis'!C94="","",'Cash Flow Analysis'!C94)</f>
        <v>27</v>
      </c>
      <c r="B78" s="1088">
        <f ca="1">IF(A78="","",IF(A78&lt;1,0,IF(A78=1,$B$44-'Cash Flow Analysis'!I94,-'Cash Flow Analysis'!I94)))</f>
        <v>1984653.151449742</v>
      </c>
      <c r="C78" s="108">
        <f t="shared" ref="C78:W78" ca="1" si="32">IF($B$78="","",IF(AND($B$42="Straight Line",C48&lt;=depr_length),$B$78/depr_length,IF(AND($B$42="MACRS",C48&lt;=depr_length+1),$B$78*INDEX(MACRS_Table,MATCH(C48,recovery_year,0),MATCH($B$43,recovery_period,0)),"")))</f>
        <v>74424.493179365323</v>
      </c>
      <c r="D78" s="109">
        <f t="shared" ca="1" si="32"/>
        <v>143272.1110031569</v>
      </c>
      <c r="E78" s="109">
        <f t="shared" ca="1" si="32"/>
        <v>132515.29092229926</v>
      </c>
      <c r="F78" s="109">
        <f t="shared" ca="1" si="32"/>
        <v>122592.02516505057</v>
      </c>
      <c r="G78" s="109">
        <f t="shared" ca="1" si="32"/>
        <v>113383.23454232376</v>
      </c>
      <c r="H78" s="109">
        <f t="shared" ca="1" si="32"/>
        <v>104888.91905411887</v>
      </c>
      <c r="I78" s="109">
        <f t="shared" ca="1" si="32"/>
        <v>97009.846042863384</v>
      </c>
      <c r="J78" s="109">
        <f t="shared" ca="1" si="32"/>
        <v>89746.015508557335</v>
      </c>
      <c r="K78" s="109">
        <f t="shared" ca="1" si="32"/>
        <v>88555.223617687487</v>
      </c>
      <c r="L78" s="109">
        <f t="shared" ca="1" si="32"/>
        <v>88535.377086172986</v>
      </c>
      <c r="M78" s="109">
        <f t="shared" ca="1" si="32"/>
        <v>88555.223617687487</v>
      </c>
      <c r="N78" s="109">
        <f t="shared" ca="1" si="32"/>
        <v>88535.377086172986</v>
      </c>
      <c r="O78" s="109">
        <f t="shared" ca="1" si="32"/>
        <v>88555.223617687487</v>
      </c>
      <c r="P78" s="109">
        <f t="shared" ca="1" si="32"/>
        <v>88535.377086172986</v>
      </c>
      <c r="Q78" s="109">
        <f t="shared" ca="1" si="32"/>
        <v>88555.223617687487</v>
      </c>
      <c r="R78" s="109">
        <f t="shared" ca="1" si="32"/>
        <v>88535.377086172986</v>
      </c>
      <c r="S78" s="109">
        <f t="shared" ca="1" si="32"/>
        <v>88555.223617687487</v>
      </c>
      <c r="T78" s="109">
        <f t="shared" ca="1" si="32"/>
        <v>88535.377086172986</v>
      </c>
      <c r="U78" s="109">
        <f t="shared" ca="1" si="32"/>
        <v>88555.223617687487</v>
      </c>
      <c r="V78" s="109">
        <f t="shared" ca="1" si="32"/>
        <v>88535.377086172986</v>
      </c>
      <c r="W78" s="110">
        <f t="shared" ca="1" si="32"/>
        <v>44277.611808843743</v>
      </c>
      <c r="X78" s="107">
        <f t="shared" ca="1" si="3"/>
        <v>1984653.1514497427</v>
      </c>
    </row>
    <row r="79" spans="1:24" ht="15" customHeight="1" x14ac:dyDescent="0.25">
      <c r="A79" s="75">
        <f>IF('Cash Flow Analysis'!C95="","",'Cash Flow Analysis'!C95)</f>
        <v>28</v>
      </c>
      <c r="B79" s="1088">
        <f ca="1">IF(A79="","",IF(A79&lt;1,0,IF(A79=1,$B$44-'Cash Flow Analysis'!I95,-'Cash Flow Analysis'!I95)))</f>
        <v>2022361.5613272872</v>
      </c>
      <c r="C79" s="108">
        <f t="shared" ref="C79:W79" ca="1" si="33">IF($B$79="","",IF(AND($B$42="Straight Line",C48&lt;=depr_length),$B$79/depr_length,IF(AND($B$42="MACRS",C48&lt;=depr_length+1),$B$79*INDEX(MACRS_Table,MATCH(C48,recovery_year,0),MATCH($B$43,recovery_period,0)),"")))</f>
        <v>75838.558549773268</v>
      </c>
      <c r="D79" s="109">
        <f t="shared" ca="1" si="33"/>
        <v>145994.28111221688</v>
      </c>
      <c r="E79" s="109">
        <f t="shared" ca="1" si="33"/>
        <v>135033.08144982296</v>
      </c>
      <c r="F79" s="109">
        <f t="shared" ca="1" si="33"/>
        <v>124921.27364318653</v>
      </c>
      <c r="G79" s="109">
        <f t="shared" ca="1" si="33"/>
        <v>115537.51599862792</v>
      </c>
      <c r="H79" s="109">
        <f t="shared" ca="1" si="33"/>
        <v>106881.80851614714</v>
      </c>
      <c r="I79" s="109">
        <f t="shared" ca="1" si="33"/>
        <v>98853.033117677798</v>
      </c>
      <c r="J79" s="109">
        <f t="shared" ca="1" si="33"/>
        <v>91451.189803219939</v>
      </c>
      <c r="K79" s="109">
        <f t="shared" ca="1" si="33"/>
        <v>90237.772866423562</v>
      </c>
      <c r="L79" s="109">
        <f t="shared" ca="1" si="33"/>
        <v>90217.549250810276</v>
      </c>
      <c r="M79" s="109">
        <f t="shared" ca="1" si="33"/>
        <v>90237.772866423562</v>
      </c>
      <c r="N79" s="109">
        <f t="shared" ca="1" si="33"/>
        <v>90217.549250810276</v>
      </c>
      <c r="O79" s="109">
        <f t="shared" ca="1" si="33"/>
        <v>90237.772866423562</v>
      </c>
      <c r="P79" s="109">
        <f t="shared" ca="1" si="33"/>
        <v>90217.549250810276</v>
      </c>
      <c r="Q79" s="109">
        <f t="shared" ca="1" si="33"/>
        <v>90237.772866423562</v>
      </c>
      <c r="R79" s="109">
        <f t="shared" ca="1" si="33"/>
        <v>90217.549250810276</v>
      </c>
      <c r="S79" s="109">
        <f t="shared" ca="1" si="33"/>
        <v>90237.772866423562</v>
      </c>
      <c r="T79" s="109">
        <f t="shared" ca="1" si="33"/>
        <v>90217.549250810276</v>
      </c>
      <c r="U79" s="109">
        <f t="shared" ca="1" si="33"/>
        <v>90237.772866423562</v>
      </c>
      <c r="V79" s="109">
        <f t="shared" ca="1" si="33"/>
        <v>90217.549250810276</v>
      </c>
      <c r="W79" s="110">
        <f t="shared" ca="1" si="33"/>
        <v>45118.886433211781</v>
      </c>
      <c r="X79" s="107">
        <f t="shared" ca="1" si="3"/>
        <v>2022361.5613272863</v>
      </c>
    </row>
    <row r="80" spans="1:24" ht="15" customHeight="1" x14ac:dyDescent="0.25">
      <c r="A80" s="75">
        <f>IF('Cash Flow Analysis'!C96="","",'Cash Flow Analysis'!C96)</f>
        <v>29</v>
      </c>
      <c r="B80" s="1088">
        <f ca="1">IF(A80="","",IF(A80&lt;1,0,IF(A80=1,$B$44-'Cash Flow Analysis'!I96,-'Cash Flow Analysis'!I96)))</f>
        <v>2060786.4309925053</v>
      </c>
      <c r="C80" s="108">
        <f t="shared" ref="C80:W80" ca="1" si="34">IF($B$80="","",IF(AND($B$42="Straight Line",C48&lt;=depr_length),$B$80/depr_length,IF(AND($B$42="MACRS",C48&lt;=depr_length+1),$B$80*INDEX(MACRS_Table,MATCH(C48,recovery_year,0),MATCH($B$43,recovery_period,0)),"")))</f>
        <v>77279.491162218939</v>
      </c>
      <c r="D80" s="109">
        <f t="shared" ca="1" si="34"/>
        <v>148768.17245334896</v>
      </c>
      <c r="E80" s="109">
        <f t="shared" ca="1" si="34"/>
        <v>137598.70999736956</v>
      </c>
      <c r="F80" s="109">
        <f t="shared" ca="1" si="34"/>
        <v>127294.77784240704</v>
      </c>
      <c r="G80" s="109">
        <f t="shared" ca="1" si="34"/>
        <v>117732.72880260182</v>
      </c>
      <c r="H80" s="109">
        <f t="shared" ca="1" si="34"/>
        <v>108912.56287795391</v>
      </c>
      <c r="I80" s="109">
        <f t="shared" ca="1" si="34"/>
        <v>100731.24074691365</v>
      </c>
      <c r="J80" s="109">
        <f t="shared" ca="1" si="34"/>
        <v>93188.762409481089</v>
      </c>
      <c r="K80" s="109">
        <f t="shared" ca="1" si="34"/>
        <v>91952.290550885591</v>
      </c>
      <c r="L80" s="109">
        <f t="shared" ca="1" si="34"/>
        <v>91931.682686575659</v>
      </c>
      <c r="M80" s="109">
        <f t="shared" ca="1" si="34"/>
        <v>91952.290550885591</v>
      </c>
      <c r="N80" s="109">
        <f t="shared" ca="1" si="34"/>
        <v>91931.682686575659</v>
      </c>
      <c r="O80" s="109">
        <f t="shared" ca="1" si="34"/>
        <v>91952.290550885591</v>
      </c>
      <c r="P80" s="109">
        <f t="shared" ca="1" si="34"/>
        <v>91931.682686575659</v>
      </c>
      <c r="Q80" s="109">
        <f t="shared" ca="1" si="34"/>
        <v>91952.290550885591</v>
      </c>
      <c r="R80" s="109">
        <f t="shared" ca="1" si="34"/>
        <v>91931.682686575659</v>
      </c>
      <c r="S80" s="109">
        <f t="shared" ca="1" si="34"/>
        <v>91952.290550885591</v>
      </c>
      <c r="T80" s="109">
        <f t="shared" ca="1" si="34"/>
        <v>91931.682686575659</v>
      </c>
      <c r="U80" s="109">
        <f t="shared" ca="1" si="34"/>
        <v>91952.290550885591</v>
      </c>
      <c r="V80" s="109">
        <f t="shared" ca="1" si="34"/>
        <v>91931.682686575659</v>
      </c>
      <c r="W80" s="110">
        <f t="shared" ca="1" si="34"/>
        <v>45976.145275442796</v>
      </c>
      <c r="X80" s="107">
        <f t="shared" ca="1" si="3"/>
        <v>2060786.430992505</v>
      </c>
    </row>
    <row r="81" spans="1:24" ht="15" customHeight="1" x14ac:dyDescent="0.25">
      <c r="A81" s="75">
        <f>IF('Cash Flow Analysis'!C97="","",'Cash Flow Analysis'!C97)</f>
        <v>30</v>
      </c>
      <c r="B81" s="1088">
        <f ca="1">IF(A81="","",IF(A81&lt;1,0,IF(A81=1,$B$44-'Cash Flow Analysis'!I97,-'Cash Flow Analysis'!I97)))</f>
        <v>2099941.3731813626</v>
      </c>
      <c r="C81" s="108">
        <f t="shared" ref="C81:W81" ca="1" si="35">IF($B$81="","",IF(AND($B$42="Straight Line",C48&lt;=depr_length),$B$81/depr_length,IF(AND($B$42="MACRS",C48&lt;=depr_length+1),$B$81*INDEX(MACRS_Table,MATCH(C48,recovery_year,0),MATCH($B$43,recovery_period,0)),"")))</f>
        <v>78747.801494301093</v>
      </c>
      <c r="D81" s="109">
        <f t="shared" ca="1" si="35"/>
        <v>151594.76772996256</v>
      </c>
      <c r="E81" s="109">
        <f t="shared" ca="1" si="35"/>
        <v>140213.08548731956</v>
      </c>
      <c r="F81" s="109">
        <f t="shared" ca="1" si="35"/>
        <v>129713.37862141276</v>
      </c>
      <c r="G81" s="109">
        <f t="shared" ca="1" si="35"/>
        <v>119969.65064985125</v>
      </c>
      <c r="H81" s="109">
        <f t="shared" ca="1" si="35"/>
        <v>110981.90157263502</v>
      </c>
      <c r="I81" s="109">
        <f t="shared" ca="1" si="35"/>
        <v>102645.13432110501</v>
      </c>
      <c r="J81" s="109">
        <f t="shared" ca="1" si="35"/>
        <v>94959.348895261224</v>
      </c>
      <c r="K81" s="109">
        <f t="shared" ca="1" si="35"/>
        <v>93699.384071352397</v>
      </c>
      <c r="L81" s="109">
        <f t="shared" ca="1" si="35"/>
        <v>93678.384657620583</v>
      </c>
      <c r="M81" s="109">
        <f t="shared" ca="1" si="35"/>
        <v>93699.384071352397</v>
      </c>
      <c r="N81" s="109">
        <f t="shared" ca="1" si="35"/>
        <v>93678.384657620583</v>
      </c>
      <c r="O81" s="109">
        <f t="shared" ca="1" si="35"/>
        <v>93699.384071352397</v>
      </c>
      <c r="P81" s="109">
        <f t="shared" ca="1" si="35"/>
        <v>93678.384657620583</v>
      </c>
      <c r="Q81" s="109">
        <f t="shared" ca="1" si="35"/>
        <v>93699.384071352397</v>
      </c>
      <c r="R81" s="109">
        <f t="shared" ca="1" si="35"/>
        <v>93678.384657620583</v>
      </c>
      <c r="S81" s="109">
        <f t="shared" ca="1" si="35"/>
        <v>93699.384071352397</v>
      </c>
      <c r="T81" s="109">
        <f t="shared" ca="1" si="35"/>
        <v>93678.384657620583</v>
      </c>
      <c r="U81" s="109">
        <f t="shared" ca="1" si="35"/>
        <v>93699.384071352397</v>
      </c>
      <c r="V81" s="109">
        <f t="shared" ca="1" si="35"/>
        <v>93678.384657620583</v>
      </c>
      <c r="W81" s="110">
        <f t="shared" ca="1" si="35"/>
        <v>46849.692035676198</v>
      </c>
      <c r="X81" s="107">
        <f t="shared" ca="1" si="3"/>
        <v>2099941.3731813631</v>
      </c>
    </row>
    <row r="82" spans="1:24" ht="15" customHeight="1" x14ac:dyDescent="0.25">
      <c r="A82" s="75">
        <f>IF('Cash Flow Analysis'!C98="","",'Cash Flow Analysis'!C98)</f>
        <v>31</v>
      </c>
      <c r="B82" s="1088">
        <f ca="1">IF(A82="","",IF(A82&lt;1,0,IF(A82=1,$B$44-'Cash Flow Analysis'!I98,-'Cash Flow Analysis'!I98)))</f>
        <v>2139840.2592718089</v>
      </c>
      <c r="C82" s="108">
        <f t="shared" ref="C82:W82" ca="1" si="36">IF($B$82="","",IF(AND($B$42="Straight Line",C48&lt;=depr_length),$B$82/depr_length,IF(AND($B$42="MACRS",C48&lt;=depr_length+1),$B$82*INDEX(MACRS_Table,MATCH(C48,recovery_year,0),MATCH($B$43,recovery_period,0)),"")))</f>
        <v>80244.009722692834</v>
      </c>
      <c r="D82" s="109">
        <f t="shared" ca="1" si="36"/>
        <v>154475.06831683189</v>
      </c>
      <c r="E82" s="109">
        <f t="shared" ca="1" si="36"/>
        <v>142877.13411157866</v>
      </c>
      <c r="F82" s="109">
        <f t="shared" ca="1" si="36"/>
        <v>132177.93281521962</v>
      </c>
      <c r="G82" s="109">
        <f t="shared" ca="1" si="36"/>
        <v>122249.07401219844</v>
      </c>
      <c r="H82" s="109">
        <f t="shared" ca="1" si="36"/>
        <v>113090.5577025151</v>
      </c>
      <c r="I82" s="109">
        <f t="shared" ca="1" si="36"/>
        <v>104595.39187320601</v>
      </c>
      <c r="J82" s="109">
        <f t="shared" ca="1" si="36"/>
        <v>96763.576524271208</v>
      </c>
      <c r="K82" s="109">
        <f t="shared" ca="1" si="36"/>
        <v>95479.67236870811</v>
      </c>
      <c r="L82" s="109">
        <f t="shared" ca="1" si="36"/>
        <v>95458.27396611539</v>
      </c>
      <c r="M82" s="109">
        <f t="shared" ca="1" si="36"/>
        <v>95479.67236870811</v>
      </c>
      <c r="N82" s="109">
        <f t="shared" ca="1" si="36"/>
        <v>95458.27396611539</v>
      </c>
      <c r="O82" s="109">
        <f t="shared" ca="1" si="36"/>
        <v>95479.67236870811</v>
      </c>
      <c r="P82" s="109">
        <f t="shared" ca="1" si="36"/>
        <v>95458.27396611539</v>
      </c>
      <c r="Q82" s="109">
        <f t="shared" ca="1" si="36"/>
        <v>95479.67236870811</v>
      </c>
      <c r="R82" s="109">
        <f t="shared" ca="1" si="36"/>
        <v>95458.27396611539</v>
      </c>
      <c r="S82" s="109">
        <f t="shared" ca="1" si="36"/>
        <v>95479.67236870811</v>
      </c>
      <c r="T82" s="109">
        <f t="shared" ca="1" si="36"/>
        <v>95458.27396611539</v>
      </c>
      <c r="U82" s="109">
        <f t="shared" ca="1" si="36"/>
        <v>95479.67236870811</v>
      </c>
      <c r="V82" s="109">
        <f t="shared" ca="1" si="36"/>
        <v>95458.27396611539</v>
      </c>
      <c r="W82" s="110">
        <f t="shared" ca="1" si="36"/>
        <v>47739.836184354055</v>
      </c>
      <c r="X82" s="107">
        <f t="shared" ca="1" si="3"/>
        <v>2139840.2592718089</v>
      </c>
    </row>
    <row r="83" spans="1:24" ht="15" customHeight="1" x14ac:dyDescent="0.25">
      <c r="A83" s="75">
        <f>IF('Cash Flow Analysis'!C99="","",'Cash Flow Analysis'!C99)</f>
        <v>32</v>
      </c>
      <c r="B83" s="1088">
        <f ca="1">IF(A83="","",IF(A83&lt;1,0,IF(A83=1,$B$44-'Cash Flow Analysis'!I99,-'Cash Flow Analysis'!I99)))</f>
        <v>2180497.224197973</v>
      </c>
      <c r="C83" s="108">
        <f t="shared" ref="C83:W83" ca="1" si="37">IF($B$83="","",IF(AND($B$42="Straight Line",C48&lt;=depr_length),$B$83/depr_length,IF(AND($B$42="MACRS",C48&lt;=depr_length+1),$B$83*INDEX(MACRS_Table,MATCH(C48,recovery_year,0),MATCH($B$43,recovery_period,0)),"")))</f>
        <v>81768.645907423983</v>
      </c>
      <c r="D83" s="109">
        <f t="shared" ca="1" si="37"/>
        <v>157410.0946148517</v>
      </c>
      <c r="E83" s="109">
        <f t="shared" ca="1" si="37"/>
        <v>145591.79965969865</v>
      </c>
      <c r="F83" s="109">
        <f t="shared" ca="1" si="37"/>
        <v>134689.31353870878</v>
      </c>
      <c r="G83" s="109">
        <f t="shared" ca="1" si="37"/>
        <v>124571.80641843021</v>
      </c>
      <c r="H83" s="109">
        <f t="shared" ca="1" si="37"/>
        <v>115239.27829886288</v>
      </c>
      <c r="I83" s="109">
        <f t="shared" ca="1" si="37"/>
        <v>106582.70431879692</v>
      </c>
      <c r="J83" s="109">
        <f t="shared" ca="1" si="37"/>
        <v>98602.084478232355</v>
      </c>
      <c r="K83" s="109">
        <f t="shared" ca="1" si="37"/>
        <v>97293.786143713558</v>
      </c>
      <c r="L83" s="109">
        <f t="shared" ca="1" si="37"/>
        <v>97271.981171471576</v>
      </c>
      <c r="M83" s="109">
        <f t="shared" ca="1" si="37"/>
        <v>97293.786143713558</v>
      </c>
      <c r="N83" s="109">
        <f t="shared" ca="1" si="37"/>
        <v>97271.981171471576</v>
      </c>
      <c r="O83" s="109">
        <f t="shared" ca="1" si="37"/>
        <v>97293.786143713558</v>
      </c>
      <c r="P83" s="109">
        <f t="shared" ca="1" si="37"/>
        <v>97271.981171471576</v>
      </c>
      <c r="Q83" s="109">
        <f t="shared" ca="1" si="37"/>
        <v>97293.786143713558</v>
      </c>
      <c r="R83" s="109">
        <f t="shared" ca="1" si="37"/>
        <v>97271.981171471576</v>
      </c>
      <c r="S83" s="109">
        <f t="shared" ca="1" si="37"/>
        <v>97293.786143713558</v>
      </c>
      <c r="T83" s="109">
        <f t="shared" ca="1" si="37"/>
        <v>97271.981171471576</v>
      </c>
      <c r="U83" s="109">
        <f t="shared" ca="1" si="37"/>
        <v>97293.786143713558</v>
      </c>
      <c r="V83" s="109">
        <f t="shared" ca="1" si="37"/>
        <v>97271.981171471576</v>
      </c>
      <c r="W83" s="110">
        <f t="shared" ca="1" si="37"/>
        <v>48646.893071856779</v>
      </c>
      <c r="X83" s="107">
        <f t="shared" ca="1" si="3"/>
        <v>2180497.2241979735</v>
      </c>
    </row>
    <row r="84" spans="1:24" ht="15" customHeight="1" x14ac:dyDescent="0.25">
      <c r="A84" s="75">
        <f>IF('Cash Flow Analysis'!C100="","",'Cash Flow Analysis'!C100)</f>
        <v>33</v>
      </c>
      <c r="B84" s="1088">
        <f ca="1">IF(A84="","",IF(A84&lt;1,0,IF(A84=1,$B$44-'Cash Flow Analysis'!I100,-'Cash Flow Analysis'!I100)))</f>
        <v>2221926.6714577344</v>
      </c>
      <c r="C84" s="108">
        <f t="shared" ref="C84:W84" ca="1" si="38">IF($B$84="","",IF(AND($B$42="Straight Line",C48&lt;=depr_length),$B$84/depr_length,IF(AND($B$42="MACRS",C48&lt;=depr_length+1),$B$84*INDEX(MACRS_Table,MATCH(C48,recovery_year,0),MATCH($B$43,recovery_period,0)),"")))</f>
        <v>83322.250179665032</v>
      </c>
      <c r="D84" s="109">
        <f t="shared" ca="1" si="38"/>
        <v>160400.88641253384</v>
      </c>
      <c r="E84" s="109">
        <f t="shared" ca="1" si="38"/>
        <v>148358.04385323293</v>
      </c>
      <c r="F84" s="109">
        <f t="shared" ca="1" si="38"/>
        <v>137248.41049594426</v>
      </c>
      <c r="G84" s="109">
        <f t="shared" ca="1" si="38"/>
        <v>126938.67074038037</v>
      </c>
      <c r="H84" s="109">
        <f t="shared" ca="1" si="38"/>
        <v>117428.82458654126</v>
      </c>
      <c r="I84" s="109">
        <f t="shared" ca="1" si="38"/>
        <v>108607.77570085406</v>
      </c>
      <c r="J84" s="109">
        <f t="shared" ca="1" si="38"/>
        <v>100475.52408331876</v>
      </c>
      <c r="K84" s="109">
        <f t="shared" ca="1" si="38"/>
        <v>99142.36808044411</v>
      </c>
      <c r="L84" s="109">
        <f t="shared" ca="1" si="38"/>
        <v>99120.148813729524</v>
      </c>
      <c r="M84" s="109">
        <f t="shared" ca="1" si="38"/>
        <v>99142.36808044411</v>
      </c>
      <c r="N84" s="109">
        <f t="shared" ca="1" si="38"/>
        <v>99120.148813729524</v>
      </c>
      <c r="O84" s="109">
        <f t="shared" ca="1" si="38"/>
        <v>99142.36808044411</v>
      </c>
      <c r="P84" s="109">
        <f t="shared" ca="1" si="38"/>
        <v>99120.148813729524</v>
      </c>
      <c r="Q84" s="109">
        <f t="shared" ca="1" si="38"/>
        <v>99142.36808044411</v>
      </c>
      <c r="R84" s="109">
        <f t="shared" ca="1" si="38"/>
        <v>99120.148813729524</v>
      </c>
      <c r="S84" s="109">
        <f t="shared" ca="1" si="38"/>
        <v>99142.36808044411</v>
      </c>
      <c r="T84" s="109">
        <f t="shared" ca="1" si="38"/>
        <v>99120.148813729524</v>
      </c>
      <c r="U84" s="109">
        <f t="shared" ca="1" si="38"/>
        <v>99142.36808044411</v>
      </c>
      <c r="V84" s="109">
        <f t="shared" ca="1" si="38"/>
        <v>99120.148813729524</v>
      </c>
      <c r="W84" s="110">
        <f t="shared" ca="1" si="38"/>
        <v>49571.184040222055</v>
      </c>
      <c r="X84" s="107">
        <f t="shared" ca="1" si="3"/>
        <v>2221926.6714577349</v>
      </c>
    </row>
    <row r="85" spans="1:24" ht="15" customHeight="1" x14ac:dyDescent="0.25">
      <c r="A85" s="75">
        <f>IF('Cash Flow Analysis'!C101="","",'Cash Flow Analysis'!C101)</f>
        <v>34</v>
      </c>
      <c r="B85" s="1088">
        <f ca="1">IF(A85="","",IF(A85&lt;1,0,IF(A85=1,$B$44-'Cash Flow Analysis'!I101,-'Cash Flow Analysis'!I101)))</f>
        <v>2264143.2782154311</v>
      </c>
      <c r="C85" s="108">
        <f t="shared" ref="C85:W85" ca="1" si="39">IF($B$85="","",IF(AND($B$42="Straight Line",C48&lt;=depr_length),$B$85/depr_length,IF(AND($B$42="MACRS",C48&lt;=depr_length+1),$B$85*INDEX(MACRS_Table,MATCH(C48,recovery_year,0),MATCH($B$43,recovery_period,0)),"")))</f>
        <v>84905.372933078659</v>
      </c>
      <c r="D85" s="109">
        <f t="shared" ca="1" si="39"/>
        <v>163448.50325437199</v>
      </c>
      <c r="E85" s="109">
        <f t="shared" ca="1" si="39"/>
        <v>151176.84668644433</v>
      </c>
      <c r="F85" s="109">
        <f t="shared" ca="1" si="39"/>
        <v>139856.13029536718</v>
      </c>
      <c r="G85" s="109">
        <f t="shared" ca="1" si="39"/>
        <v>129350.50548444758</v>
      </c>
      <c r="H85" s="109">
        <f t="shared" ca="1" si="39"/>
        <v>119659.97225368554</v>
      </c>
      <c r="I85" s="109">
        <f t="shared" ca="1" si="39"/>
        <v>110671.32343917027</v>
      </c>
      <c r="J85" s="109">
        <f t="shared" ca="1" si="39"/>
        <v>102384.5590409018</v>
      </c>
      <c r="K85" s="109">
        <f t="shared" ca="1" si="39"/>
        <v>101026.07307397254</v>
      </c>
      <c r="L85" s="109">
        <f t="shared" ca="1" si="39"/>
        <v>101003.43164119037</v>
      </c>
      <c r="M85" s="109">
        <f t="shared" ca="1" si="39"/>
        <v>101026.07307397254</v>
      </c>
      <c r="N85" s="109">
        <f t="shared" ca="1" si="39"/>
        <v>101003.43164119037</v>
      </c>
      <c r="O85" s="109">
        <f t="shared" ca="1" si="39"/>
        <v>101026.07307397254</v>
      </c>
      <c r="P85" s="109">
        <f t="shared" ca="1" si="39"/>
        <v>101003.43164119037</v>
      </c>
      <c r="Q85" s="109">
        <f t="shared" ca="1" si="39"/>
        <v>101026.07307397254</v>
      </c>
      <c r="R85" s="109">
        <f t="shared" ca="1" si="39"/>
        <v>101003.43164119037</v>
      </c>
      <c r="S85" s="109">
        <f t="shared" ca="1" si="39"/>
        <v>101026.07307397254</v>
      </c>
      <c r="T85" s="109">
        <f t="shared" ca="1" si="39"/>
        <v>101003.43164119037</v>
      </c>
      <c r="U85" s="109">
        <f t="shared" ca="1" si="39"/>
        <v>101026.07307397254</v>
      </c>
      <c r="V85" s="109">
        <f t="shared" ca="1" si="39"/>
        <v>101003.43164119037</v>
      </c>
      <c r="W85" s="110">
        <f t="shared" ca="1" si="39"/>
        <v>50513.03653698627</v>
      </c>
      <c r="X85" s="107">
        <f t="shared" ca="1" si="3"/>
        <v>2264143.2782154307</v>
      </c>
    </row>
    <row r="86" spans="1:24" ht="15" customHeight="1" x14ac:dyDescent="0.25">
      <c r="A86" s="75">
        <f>IF('Cash Flow Analysis'!C102="","",'Cash Flow Analysis'!C102)</f>
        <v>35</v>
      </c>
      <c r="B86" s="1088">
        <f ca="1">IF(A86="","",IF(A86&lt;1,0,IF(A86=1,$B$44-'Cash Flow Analysis'!I102,-'Cash Flow Analysis'!I102)))</f>
        <v>2307162.0005015242</v>
      </c>
      <c r="C86" s="108">
        <f t="shared" ref="C86:W86" ca="1" si="40">IF($B$86="","",IF(AND($B$42="Straight Line",C48&lt;=depr_length),$B$86/depr_length,IF(AND($B$42="MACRS",C48&lt;=depr_length+1),$B$86*INDEX(MACRS_Table,MATCH(C48,recovery_year,0),MATCH($B$43,recovery_period,0)),"")))</f>
        <v>86518.575018807154</v>
      </c>
      <c r="D86" s="109">
        <f t="shared" ca="1" si="40"/>
        <v>166554.02481620503</v>
      </c>
      <c r="E86" s="109">
        <f t="shared" ca="1" si="40"/>
        <v>154049.20677348677</v>
      </c>
      <c r="F86" s="109">
        <f t="shared" ca="1" si="40"/>
        <v>142513.39677097913</v>
      </c>
      <c r="G86" s="109">
        <f t="shared" ca="1" si="40"/>
        <v>131808.16508865208</v>
      </c>
      <c r="H86" s="109">
        <f t="shared" ca="1" si="40"/>
        <v>121933.51172650556</v>
      </c>
      <c r="I86" s="109">
        <f t="shared" ca="1" si="40"/>
        <v>112774.0785845145</v>
      </c>
      <c r="J86" s="109">
        <f t="shared" ca="1" si="40"/>
        <v>104329.86566267893</v>
      </c>
      <c r="K86" s="109">
        <f t="shared" ca="1" si="40"/>
        <v>102945.56846237801</v>
      </c>
      <c r="L86" s="109">
        <f t="shared" ca="1" si="40"/>
        <v>102922.49684237299</v>
      </c>
      <c r="M86" s="109">
        <f t="shared" ca="1" si="40"/>
        <v>102945.56846237801</v>
      </c>
      <c r="N86" s="109">
        <f t="shared" ca="1" si="40"/>
        <v>102922.49684237299</v>
      </c>
      <c r="O86" s="109">
        <f t="shared" ca="1" si="40"/>
        <v>102945.56846237801</v>
      </c>
      <c r="P86" s="109">
        <f t="shared" ca="1" si="40"/>
        <v>102922.49684237299</v>
      </c>
      <c r="Q86" s="109">
        <f t="shared" ca="1" si="40"/>
        <v>102945.56846237801</v>
      </c>
      <c r="R86" s="109">
        <f t="shared" ca="1" si="40"/>
        <v>102922.49684237299</v>
      </c>
      <c r="S86" s="109">
        <f t="shared" ca="1" si="40"/>
        <v>102945.56846237801</v>
      </c>
      <c r="T86" s="109">
        <f t="shared" ca="1" si="40"/>
        <v>102922.49684237299</v>
      </c>
      <c r="U86" s="109">
        <f t="shared" ca="1" si="40"/>
        <v>102945.56846237801</v>
      </c>
      <c r="V86" s="109">
        <f t="shared" ca="1" si="40"/>
        <v>102922.49684237299</v>
      </c>
      <c r="W86" s="110">
        <f t="shared" ca="1" si="40"/>
        <v>51472.784231189005</v>
      </c>
      <c r="X86" s="107">
        <f t="shared" ca="1" si="3"/>
        <v>2307162.0005015247</v>
      </c>
    </row>
    <row r="87" spans="1:24" ht="15" customHeight="1" x14ac:dyDescent="0.25">
      <c r="A87" s="75">
        <f>IF('Cash Flow Analysis'!C103="","",'Cash Flow Analysis'!C103)</f>
        <v>36</v>
      </c>
      <c r="B87" s="1088">
        <f ca="1">IF(A87="","",IF(A87&lt;1,0,IF(A87=1,$B$44-'Cash Flow Analysis'!I103,-'Cash Flow Analysis'!I103)))</f>
        <v>2350998.0785110532</v>
      </c>
      <c r="C87" s="108">
        <f t="shared" ref="C87:W87" ca="1" si="41">IF($B$87="","",IF(AND($B$42="Straight Line",C48&lt;=depr_length),$B$87/depr_length,IF(AND($B$42="MACRS",C48&lt;=depr_length+1),$B$87*INDEX(MACRS_Table,MATCH(C48,recovery_year,0),MATCH($B$43,recovery_period,0)),"")))</f>
        <v>88162.42794416449</v>
      </c>
      <c r="D87" s="109">
        <f t="shared" ca="1" si="41"/>
        <v>169718.55128771294</v>
      </c>
      <c r="E87" s="109">
        <f t="shared" ca="1" si="41"/>
        <v>156976.14170218303</v>
      </c>
      <c r="F87" s="109">
        <f t="shared" ca="1" si="41"/>
        <v>145221.15130962775</v>
      </c>
      <c r="G87" s="109">
        <f t="shared" ca="1" si="41"/>
        <v>134312.52022533648</v>
      </c>
      <c r="H87" s="109">
        <f t="shared" ca="1" si="41"/>
        <v>124250.24844930916</v>
      </c>
      <c r="I87" s="109">
        <f t="shared" ca="1" si="41"/>
        <v>114916.78607762029</v>
      </c>
      <c r="J87" s="109">
        <f t="shared" ca="1" si="41"/>
        <v>106312.13311026983</v>
      </c>
      <c r="K87" s="109">
        <f t="shared" ca="1" si="41"/>
        <v>104901.53426316319</v>
      </c>
      <c r="L87" s="109">
        <f t="shared" ca="1" si="41"/>
        <v>104878.02428237807</v>
      </c>
      <c r="M87" s="109">
        <f t="shared" ca="1" si="41"/>
        <v>104901.53426316319</v>
      </c>
      <c r="N87" s="109">
        <f t="shared" ca="1" si="41"/>
        <v>104878.02428237807</v>
      </c>
      <c r="O87" s="109">
        <f t="shared" ca="1" si="41"/>
        <v>104901.53426316319</v>
      </c>
      <c r="P87" s="109">
        <f t="shared" ca="1" si="41"/>
        <v>104878.02428237807</v>
      </c>
      <c r="Q87" s="109">
        <f t="shared" ca="1" si="41"/>
        <v>104901.53426316319</v>
      </c>
      <c r="R87" s="109">
        <f t="shared" ca="1" si="41"/>
        <v>104878.02428237807</v>
      </c>
      <c r="S87" s="109">
        <f t="shared" ca="1" si="41"/>
        <v>104901.53426316319</v>
      </c>
      <c r="T87" s="109">
        <f t="shared" ca="1" si="41"/>
        <v>104878.02428237807</v>
      </c>
      <c r="U87" s="109">
        <f t="shared" ca="1" si="41"/>
        <v>104901.53426316319</v>
      </c>
      <c r="V87" s="109">
        <f t="shared" ca="1" si="41"/>
        <v>104878.02428237807</v>
      </c>
      <c r="W87" s="110">
        <f t="shared" ca="1" si="41"/>
        <v>52450.767131581597</v>
      </c>
      <c r="X87" s="107">
        <f t="shared" ca="1" si="3"/>
        <v>2350998.0785110532</v>
      </c>
    </row>
    <row r="88" spans="1:24" ht="15" customHeight="1" x14ac:dyDescent="0.25">
      <c r="A88" s="75">
        <f>IF('Cash Flow Analysis'!C104="","",'Cash Flow Analysis'!C104)</f>
        <v>37</v>
      </c>
      <c r="B88" s="1088">
        <f ca="1">IF(A88="","",IF(A88&lt;1,0,IF(A88=1,$B$44-'Cash Flow Analysis'!I104,-'Cash Flow Analysis'!I104)))</f>
        <v>2395667.0420027631</v>
      </c>
      <c r="C88" s="108">
        <f t="shared" ref="C88:W88" ca="1" si="42">IF($B$88="","",IF(AND($B$42="Straight Line",C48&lt;=depr_length),$B$88/depr_length,IF(AND($B$42="MACRS",C48&lt;=depr_length+1),$B$88*INDEX(MACRS_Table,MATCH(C48,recovery_year,0),MATCH($B$43,recovery_period,0)),"")))</f>
        <v>89837.514075103609</v>
      </c>
      <c r="D88" s="109">
        <f t="shared" ca="1" si="42"/>
        <v>172943.20376217947</v>
      </c>
      <c r="E88" s="109">
        <f t="shared" ca="1" si="42"/>
        <v>159958.68839452448</v>
      </c>
      <c r="F88" s="109">
        <f t="shared" ca="1" si="42"/>
        <v>147980.35318451066</v>
      </c>
      <c r="G88" s="109">
        <f t="shared" ca="1" si="42"/>
        <v>136864.45810961784</v>
      </c>
      <c r="H88" s="109">
        <f t="shared" ca="1" si="42"/>
        <v>126611.00316984604</v>
      </c>
      <c r="I88" s="109">
        <f t="shared" ca="1" si="42"/>
        <v>117100.20501309507</v>
      </c>
      <c r="J88" s="109">
        <f t="shared" ca="1" si="42"/>
        <v>108332.06363936496</v>
      </c>
      <c r="K88" s="109">
        <f t="shared" ca="1" si="42"/>
        <v>106894.6634141633</v>
      </c>
      <c r="L88" s="109">
        <f t="shared" ca="1" si="42"/>
        <v>106870.70674374326</v>
      </c>
      <c r="M88" s="109">
        <f t="shared" ca="1" si="42"/>
        <v>106894.6634141633</v>
      </c>
      <c r="N88" s="109">
        <f t="shared" ca="1" si="42"/>
        <v>106870.70674374326</v>
      </c>
      <c r="O88" s="109">
        <f t="shared" ca="1" si="42"/>
        <v>106894.6634141633</v>
      </c>
      <c r="P88" s="109">
        <f t="shared" ca="1" si="42"/>
        <v>106870.70674374326</v>
      </c>
      <c r="Q88" s="109">
        <f t="shared" ca="1" si="42"/>
        <v>106894.6634141633</v>
      </c>
      <c r="R88" s="109">
        <f t="shared" ca="1" si="42"/>
        <v>106870.70674374326</v>
      </c>
      <c r="S88" s="109">
        <f t="shared" ca="1" si="42"/>
        <v>106894.6634141633</v>
      </c>
      <c r="T88" s="109">
        <f t="shared" ca="1" si="42"/>
        <v>106870.70674374326</v>
      </c>
      <c r="U88" s="109">
        <f t="shared" ca="1" si="42"/>
        <v>106894.6634141633</v>
      </c>
      <c r="V88" s="109">
        <f t="shared" ca="1" si="42"/>
        <v>106870.70674374326</v>
      </c>
      <c r="W88" s="110">
        <f t="shared" ca="1" si="42"/>
        <v>53447.331707081648</v>
      </c>
      <c r="X88" s="107">
        <f t="shared" ca="1" si="3"/>
        <v>2395667.0420027631</v>
      </c>
    </row>
    <row r="89" spans="1:24" ht="15" customHeight="1" x14ac:dyDescent="0.25">
      <c r="A89" s="75">
        <f>IF('Cash Flow Analysis'!C105="","",'Cash Flow Analysis'!C105)</f>
        <v>38</v>
      </c>
      <c r="B89" s="1088">
        <f ca="1">IF(A89="","",IF(A89&lt;1,0,IF(A89=1,$B$44-'Cash Flow Analysis'!I105,-'Cash Flow Analysis'!I105)))</f>
        <v>2441184.7158008153</v>
      </c>
      <c r="C89" s="108">
        <f t="shared" ref="C89:W89" ca="1" si="43">IF($B$89="","",IF(AND($B$42="Straight Line",C48&lt;=depr_length),$B$89/depr_length,IF(AND($B$42="MACRS",C48&lt;=depr_length+1),$B$89*INDEX(MACRS_Table,MATCH(C48,recovery_year,0),MATCH($B$43,recovery_period,0)),"")))</f>
        <v>91544.426842530564</v>
      </c>
      <c r="D89" s="109">
        <f t="shared" ca="1" si="43"/>
        <v>176229.12463366086</v>
      </c>
      <c r="E89" s="109">
        <f t="shared" ca="1" si="43"/>
        <v>162997.90347402042</v>
      </c>
      <c r="F89" s="109">
        <f t="shared" ca="1" si="43"/>
        <v>150791.97989501635</v>
      </c>
      <c r="G89" s="109">
        <f t="shared" ca="1" si="43"/>
        <v>139464.88281370056</v>
      </c>
      <c r="H89" s="109">
        <f t="shared" ca="1" si="43"/>
        <v>129016.61223007309</v>
      </c>
      <c r="I89" s="109">
        <f t="shared" ca="1" si="43"/>
        <v>119325.10890834386</v>
      </c>
      <c r="J89" s="109">
        <f t="shared" ca="1" si="43"/>
        <v>110390.37284851288</v>
      </c>
      <c r="K89" s="109">
        <f t="shared" ca="1" si="43"/>
        <v>108925.66201903237</v>
      </c>
      <c r="L89" s="109">
        <f t="shared" ca="1" si="43"/>
        <v>108901.25017187436</v>
      </c>
      <c r="M89" s="109">
        <f t="shared" ca="1" si="43"/>
        <v>108925.66201903237</v>
      </c>
      <c r="N89" s="109">
        <f t="shared" ca="1" si="43"/>
        <v>108901.25017187436</v>
      </c>
      <c r="O89" s="109">
        <f t="shared" ca="1" si="43"/>
        <v>108925.66201903237</v>
      </c>
      <c r="P89" s="109">
        <f t="shared" ca="1" si="43"/>
        <v>108901.25017187436</v>
      </c>
      <c r="Q89" s="109">
        <f t="shared" ca="1" si="43"/>
        <v>108925.66201903237</v>
      </c>
      <c r="R89" s="109">
        <f t="shared" ca="1" si="43"/>
        <v>108901.25017187436</v>
      </c>
      <c r="S89" s="109">
        <f t="shared" ca="1" si="43"/>
        <v>108925.66201903237</v>
      </c>
      <c r="T89" s="109">
        <f t="shared" ca="1" si="43"/>
        <v>108901.25017187436</v>
      </c>
      <c r="U89" s="109">
        <f t="shared" ca="1" si="43"/>
        <v>108925.66201903237</v>
      </c>
      <c r="V89" s="109">
        <f t="shared" ca="1" si="43"/>
        <v>108901.25017187436</v>
      </c>
      <c r="W89" s="110">
        <f t="shared" ca="1" si="43"/>
        <v>54462.831009516187</v>
      </c>
      <c r="X89" s="107">
        <f t="shared" ca="1" si="3"/>
        <v>2441184.7158008148</v>
      </c>
    </row>
    <row r="90" spans="1:24" ht="15" customHeight="1" x14ac:dyDescent="0.25">
      <c r="A90" s="75">
        <f>IF('Cash Flow Analysis'!C106="","",'Cash Flow Analysis'!C106)</f>
        <v>39</v>
      </c>
      <c r="B90" s="1088">
        <f ca="1">IF(A90="","",IF(A90&lt;1,0,IF(A90=1,$B$44-'Cash Flow Analysis'!I106,-'Cash Flow Analysis'!I106)))</f>
        <v>2487567.2254010309</v>
      </c>
      <c r="C90" s="108">
        <f t="shared" ref="C90:W90" ca="1" si="44">IF($B$90="","",IF(AND($B$42="Straight Line",C48&lt;=depr_length),$B$90/depr_length,IF(AND($B$42="MACRS",C48&lt;=depr_length+1),$B$90*INDEX(MACRS_Table,MATCH(C48,recovery_year,0),MATCH($B$43,recovery_period,0)),"")))</f>
        <v>93283.77095253866</v>
      </c>
      <c r="D90" s="109">
        <f t="shared" ca="1" si="44"/>
        <v>179577.47800170042</v>
      </c>
      <c r="E90" s="109">
        <f t="shared" ca="1" si="44"/>
        <v>166094.86364002683</v>
      </c>
      <c r="F90" s="109">
        <f t="shared" ca="1" si="44"/>
        <v>153657.02751302166</v>
      </c>
      <c r="G90" s="109">
        <f t="shared" ca="1" si="44"/>
        <v>142114.7155871609</v>
      </c>
      <c r="H90" s="109">
        <f t="shared" ca="1" si="44"/>
        <v>131467.92786244449</v>
      </c>
      <c r="I90" s="109">
        <f t="shared" ca="1" si="44"/>
        <v>121592.28597760238</v>
      </c>
      <c r="J90" s="109">
        <f t="shared" ca="1" si="44"/>
        <v>112487.78993263462</v>
      </c>
      <c r="K90" s="109">
        <f t="shared" ca="1" si="44"/>
        <v>110995.24959739399</v>
      </c>
      <c r="L90" s="109">
        <f t="shared" ca="1" si="44"/>
        <v>110970.37392513998</v>
      </c>
      <c r="M90" s="109">
        <f t="shared" ca="1" si="44"/>
        <v>110995.24959739399</v>
      </c>
      <c r="N90" s="109">
        <f t="shared" ca="1" si="44"/>
        <v>110970.37392513998</v>
      </c>
      <c r="O90" s="109">
        <f t="shared" ca="1" si="44"/>
        <v>110995.24959739399</v>
      </c>
      <c r="P90" s="109">
        <f t="shared" ca="1" si="44"/>
        <v>110970.37392513998</v>
      </c>
      <c r="Q90" s="109">
        <f t="shared" ca="1" si="44"/>
        <v>110995.24959739399</v>
      </c>
      <c r="R90" s="109">
        <f t="shared" ca="1" si="44"/>
        <v>110970.37392513998</v>
      </c>
      <c r="S90" s="109">
        <f t="shared" ca="1" si="44"/>
        <v>110995.24959739399</v>
      </c>
      <c r="T90" s="109">
        <f t="shared" ca="1" si="44"/>
        <v>110970.37392513998</v>
      </c>
      <c r="U90" s="109">
        <f t="shared" ca="1" si="44"/>
        <v>110995.24959739399</v>
      </c>
      <c r="V90" s="109">
        <f t="shared" ca="1" si="44"/>
        <v>110970.37392513998</v>
      </c>
      <c r="W90" s="110">
        <f t="shared" ca="1" si="44"/>
        <v>55497.624798696997</v>
      </c>
      <c r="X90" s="107">
        <f t="shared" ca="1" si="3"/>
        <v>2487567.2254010304</v>
      </c>
    </row>
    <row r="91" spans="1:24" ht="15" customHeight="1" x14ac:dyDescent="0.25">
      <c r="A91" s="75">
        <f>IF('Cash Flow Analysis'!C107="","",'Cash Flow Analysis'!C107)</f>
        <v>40</v>
      </c>
      <c r="B91" s="1088">
        <f ca="1">IF(A91="","",IF(A91&lt;1,0,IF(A91=1,$B$44-'Cash Flow Analysis'!I107,-'Cash Flow Analysis'!I107)))</f>
        <v>2534831.0026836507</v>
      </c>
      <c r="C91" s="108">
        <f t="shared" ref="C91:W91" ca="1" si="45">IF($B$91="","",IF(AND($B$42="Straight Line",C48&lt;=depr_length),$B$91/depr_length,IF(AND($B$42="MACRS",C48&lt;=depr_length+1),$B$91*INDEX(MACRS_Table,MATCH(C48,recovery_year,0),MATCH($B$43,recovery_period,0)),"")))</f>
        <v>95056.162600636904</v>
      </c>
      <c r="D91" s="109">
        <f t="shared" ca="1" si="45"/>
        <v>182989.45008373275</v>
      </c>
      <c r="E91" s="109">
        <f t="shared" ca="1" si="45"/>
        <v>169250.66604918733</v>
      </c>
      <c r="F91" s="109">
        <f t="shared" ca="1" si="45"/>
        <v>156576.5110357691</v>
      </c>
      <c r="G91" s="109">
        <f t="shared" ca="1" si="45"/>
        <v>144814.89518331696</v>
      </c>
      <c r="H91" s="109">
        <f t="shared" ca="1" si="45"/>
        <v>133965.81849183096</v>
      </c>
      <c r="I91" s="109">
        <f t="shared" ca="1" si="45"/>
        <v>123902.53941117684</v>
      </c>
      <c r="J91" s="109">
        <f t="shared" ca="1" si="45"/>
        <v>114625.05794135469</v>
      </c>
      <c r="K91" s="109">
        <f t="shared" ca="1" si="45"/>
        <v>113104.1593397445</v>
      </c>
      <c r="L91" s="109">
        <f t="shared" ca="1" si="45"/>
        <v>113078.81102971765</v>
      </c>
      <c r="M91" s="109">
        <f t="shared" ca="1" si="45"/>
        <v>113104.1593397445</v>
      </c>
      <c r="N91" s="109">
        <f t="shared" ca="1" si="45"/>
        <v>113078.81102971765</v>
      </c>
      <c r="O91" s="109">
        <f t="shared" ca="1" si="45"/>
        <v>113104.1593397445</v>
      </c>
      <c r="P91" s="109">
        <f t="shared" ca="1" si="45"/>
        <v>113078.81102971765</v>
      </c>
      <c r="Q91" s="109">
        <f t="shared" ca="1" si="45"/>
        <v>113104.1593397445</v>
      </c>
      <c r="R91" s="109">
        <f t="shared" ca="1" si="45"/>
        <v>113078.81102971765</v>
      </c>
      <c r="S91" s="109">
        <f t="shared" ca="1" si="45"/>
        <v>113104.1593397445</v>
      </c>
      <c r="T91" s="109">
        <f t="shared" ca="1" si="45"/>
        <v>113078.81102971765</v>
      </c>
      <c r="U91" s="109">
        <f t="shared" ca="1" si="45"/>
        <v>113104.1593397445</v>
      </c>
      <c r="V91" s="109">
        <f t="shared" ca="1" si="45"/>
        <v>113078.81102971765</v>
      </c>
      <c r="W91" s="110">
        <f t="shared" ca="1" si="45"/>
        <v>56552.079669872248</v>
      </c>
      <c r="X91" s="107">
        <f t="shared" ca="1" si="3"/>
        <v>2534831.0026836512</v>
      </c>
    </row>
    <row r="92" spans="1:24" ht="15" customHeight="1" thickBot="1" x14ac:dyDescent="0.3">
      <c r="A92" s="79" t="str">
        <f>IF('Cash Flow Analysis'!C108="","",'Cash Flow Analysis'!C108)</f>
        <v/>
      </c>
      <c r="B92" s="1088"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5">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3">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4">
      <c r="A95" s="98" t="s">
        <v>59</v>
      </c>
      <c r="B95" s="64"/>
      <c r="C95" s="65"/>
    </row>
    <row r="96" spans="1:24" ht="31.15" customHeight="1" thickTop="1" x14ac:dyDescent="0.3">
      <c r="A96" s="116" t="s">
        <v>56</v>
      </c>
      <c r="B96" s="117" t="s">
        <v>60</v>
      </c>
      <c r="C96" s="118" t="s">
        <v>61</v>
      </c>
    </row>
    <row r="97" spans="1:3" ht="15" customHeight="1" x14ac:dyDescent="0.25">
      <c r="A97" s="94">
        <f>IF('Cash Flow Analysis'!C65="","",'Cash Flow Analysis'!C65)</f>
        <v>-3</v>
      </c>
      <c r="B97" s="109">
        <f>C49</f>
        <v>0</v>
      </c>
      <c r="C97" s="119">
        <f t="shared" ref="C97:C140" si="47">IF(A97="",B97,0)</f>
        <v>0</v>
      </c>
    </row>
    <row r="98" spans="1:3" ht="15" customHeight="1" x14ac:dyDescent="0.25">
      <c r="A98" s="94">
        <f>IF('Cash Flow Analysis'!C66="","",'Cash Flow Analysis'!C66)</f>
        <v>-2</v>
      </c>
      <c r="B98" s="109">
        <f>SUM(D49,C50)</f>
        <v>0</v>
      </c>
      <c r="C98" s="119">
        <f t="shared" si="47"/>
        <v>0</v>
      </c>
    </row>
    <row r="99" spans="1:3" ht="15" customHeight="1" x14ac:dyDescent="0.25">
      <c r="A99" s="94">
        <f>IF('Cash Flow Analysis'!C67="","",'Cash Flow Analysis'!C67)</f>
        <v>-1</v>
      </c>
      <c r="B99" s="109">
        <f>SUM(E49,D50,C51)</f>
        <v>0</v>
      </c>
      <c r="C99" s="119">
        <f t="shared" si="47"/>
        <v>0</v>
      </c>
    </row>
    <row r="100" spans="1:3" ht="15" customHeight="1" x14ac:dyDescent="0.25">
      <c r="A100" s="94">
        <f>IF('Cash Flow Analysis'!C68="","",'Cash Flow Analysis'!C68)</f>
        <v>1</v>
      </c>
      <c r="B100" s="109">
        <f ca="1">SUM(F49,E50,D51,C52)</f>
        <v>8751009.7237954363</v>
      </c>
      <c r="C100" s="119">
        <f t="shared" si="47"/>
        <v>0</v>
      </c>
    </row>
    <row r="101" spans="1:3" ht="15" customHeight="1" x14ac:dyDescent="0.25">
      <c r="A101" s="94">
        <f>IF('Cash Flow Analysis'!C69="","",'Cash Flow Analysis'!C69)</f>
        <v>2</v>
      </c>
      <c r="B101" s="109">
        <f ca="1">SUM(G49,F50,E51,D52,C53)</f>
        <v>16892767.305163302</v>
      </c>
      <c r="C101" s="119">
        <f t="shared" si="47"/>
        <v>0</v>
      </c>
    </row>
    <row r="102" spans="1:3" ht="15" customHeight="1" x14ac:dyDescent="0.25">
      <c r="A102" s="94">
        <f>IF('Cash Flow Analysis'!C70="","",'Cash Flow Analysis'!C70)</f>
        <v>3</v>
      </c>
      <c r="B102" s="109">
        <f ca="1">SUM(H49,G50,F51,E52,D53,C54)</f>
        <v>15718334.721086454</v>
      </c>
      <c r="C102" s="119">
        <f t="shared" si="47"/>
        <v>0</v>
      </c>
    </row>
    <row r="103" spans="1:3" ht="15" customHeight="1" x14ac:dyDescent="0.25">
      <c r="A103" s="94">
        <f>IF('Cash Flow Analysis'!C71="","",'Cash Flow Analysis'!C71)</f>
        <v>4</v>
      </c>
      <c r="B103" s="109">
        <f ca="1">SUM(I49,H50,G51,F52,E53,D54,C55)</f>
        <v>14636911.284741448</v>
      </c>
      <c r="C103" s="119">
        <f t="shared" si="47"/>
        <v>0</v>
      </c>
    </row>
    <row r="104" spans="1:3" ht="15" customHeight="1" x14ac:dyDescent="0.25">
      <c r="A104" s="94">
        <f>IF('Cash Flow Analysis'!C72="","",'Cash Flow Analysis'!C72)</f>
        <v>5</v>
      </c>
      <c r="B104" s="109">
        <f ca="1">SUM(J49,I50,H51,G52,F53,E54,D55,C56)</f>
        <v>13634921.029593425</v>
      </c>
      <c r="C104" s="119">
        <f t="shared" si="47"/>
        <v>0</v>
      </c>
    </row>
    <row r="105" spans="1:3" ht="15" customHeight="1" x14ac:dyDescent="0.25">
      <c r="A105" s="94">
        <f>IF('Cash Flow Analysis'!C73="","",'Cash Flow Analysis'!C73)</f>
        <v>6</v>
      </c>
      <c r="B105" s="109">
        <f ca="1">SUM(K49,J50,I51,H52,G53,F54,E55,D56,C57)</f>
        <v>12712723.307699112</v>
      </c>
      <c r="C105" s="119">
        <f t="shared" si="47"/>
        <v>0</v>
      </c>
    </row>
    <row r="106" spans="1:3" ht="15" customHeight="1" x14ac:dyDescent="0.25">
      <c r="A106" s="94">
        <f>IF('Cash Flow Analysis'!C74="","",'Cash Flow Analysis'!C74)</f>
        <v>7</v>
      </c>
      <c r="B106" s="109">
        <f ca="1">SUM(L49,K50,J51,I52,H53,G54,F55,E56,D57,C58)</f>
        <v>11859016.28583926</v>
      </c>
      <c r="C106" s="119">
        <f t="shared" si="47"/>
        <v>0</v>
      </c>
    </row>
    <row r="107" spans="1:3" ht="15" customHeight="1" x14ac:dyDescent="0.25">
      <c r="A107" s="94">
        <f>IF('Cash Flow Analysis'!C75="","",'Cash Flow Analysis'!C75)</f>
        <v>8</v>
      </c>
      <c r="B107" s="109">
        <f ca="1">SUM(M49,L50,K51,J52,I53,H54,G55,F56,E57,D58,C59)</f>
        <v>11074111.114259891</v>
      </c>
      <c r="C107" s="119">
        <f t="shared" si="47"/>
        <v>0</v>
      </c>
    </row>
    <row r="108" spans="1:3" ht="15" customHeight="1" x14ac:dyDescent="0.25">
      <c r="A108" s="94">
        <f>IF('Cash Flow Analysis'!C76="","",'Cash Flow Analysis'!C76)</f>
        <v>9</v>
      </c>
      <c r="B108" s="109">
        <f ca="1">SUM(N49,M50,L51,K52,J53,I54,H55,G56,F57,E58,D59,C60)</f>
        <v>11000065.568140045</v>
      </c>
      <c r="C108" s="119">
        <f t="shared" si="47"/>
        <v>0</v>
      </c>
    </row>
    <row r="109" spans="1:3" ht="15" customHeight="1" x14ac:dyDescent="0.25">
      <c r="A109" s="94">
        <f>IF('Cash Flow Analysis'!C77="","",'Cash Flow Analysis'!C77)</f>
        <v>10</v>
      </c>
      <c r="B109" s="109">
        <f ca="1">SUM(O49,N50,M51,L52,K53,J54,I55,H56,G57,F58,E59,D60,C61)</f>
        <v>11064212.173608331</v>
      </c>
      <c r="C109" s="119">
        <f t="shared" si="47"/>
        <v>0</v>
      </c>
    </row>
    <row r="110" spans="1:3" ht="15" customHeight="1" x14ac:dyDescent="0.25">
      <c r="A110" s="94">
        <f>IF('Cash Flow Analysis'!C78="","",'Cash Flow Analysis'!C78)</f>
        <v>11</v>
      </c>
      <c r="B110" s="109">
        <f ca="1">SUM(P49,O50,N51,M52,L53,K54,J55,I56,H57,G58,F59,E60,D61,C62)</f>
        <v>11134276.710832817</v>
      </c>
      <c r="C110" s="119">
        <f t="shared" si="47"/>
        <v>0</v>
      </c>
    </row>
    <row r="111" spans="1:3" ht="15" customHeight="1" x14ac:dyDescent="0.25">
      <c r="A111" s="94">
        <f>IF('Cash Flow Analysis'!C79="","",'Cash Flow Analysis'!C79)</f>
        <v>12</v>
      </c>
      <c r="B111" s="109">
        <f ca="1">SUM(Q49,P50,O51,N52,M53,L54,K55,J56,I57,H58,G59,F60,E61,D62,C63)</f>
        <v>11200973.328012265</v>
      </c>
      <c r="C111" s="119">
        <f t="shared" si="47"/>
        <v>0</v>
      </c>
    </row>
    <row r="112" spans="1:3" ht="15" customHeight="1" x14ac:dyDescent="0.25">
      <c r="A112" s="94">
        <f>IF('Cash Flow Analysis'!C80="","",'Cash Flow Analysis'!C80)</f>
        <v>13</v>
      </c>
      <c r="B112" s="109">
        <f ca="1">SUM(R49,Q50,P51,O52,N53,M54,L55,K56,J57,I58,H59,G60,F61,E62,D63,C64)</f>
        <v>11273636.32717043</v>
      </c>
      <c r="C112" s="119">
        <f t="shared" si="47"/>
        <v>0</v>
      </c>
    </row>
    <row r="113" spans="1:3" ht="15" customHeight="1" x14ac:dyDescent="0.25">
      <c r="A113" s="94">
        <f>IF('Cash Flow Analysis'!C81="","",'Cash Flow Analysis'!C81)</f>
        <v>14</v>
      </c>
      <c r="B113" s="109">
        <f ca="1">SUM(S49,R50,Q51,P52,O53,N54,M55,L56,K57,J58,I59,H60,G61,F62,E63,D64,C65)</f>
        <v>11342980.777060291</v>
      </c>
      <c r="C113" s="119">
        <f t="shared" si="47"/>
        <v>0</v>
      </c>
    </row>
    <row r="114" spans="1:3" ht="15" customHeight="1" x14ac:dyDescent="0.25">
      <c r="A114" s="94">
        <f>IF('Cash Flow Analysis'!C82="","",'Cash Flow Analysis'!C82)</f>
        <v>15</v>
      </c>
      <c r="B114" s="109">
        <f ca="1">SUM(T49,S50,R51,Q52,P53,O54,N55,M56,L57,K58,J59,I60,H61,G62,F63,E64,D65,C66)</f>
        <v>11418341.917750364</v>
      </c>
      <c r="C114" s="119">
        <f t="shared" si="47"/>
        <v>0</v>
      </c>
    </row>
    <row r="115" spans="1:3" ht="15" customHeight="1" x14ac:dyDescent="0.25">
      <c r="A115" s="94">
        <f>IF('Cash Flow Analysis'!C83="","",'Cash Flow Analysis'!C83)</f>
        <v>16</v>
      </c>
      <c r="B115" s="109">
        <f ca="1">SUM(U49,T50,S51,R52,Q53,P54,O55,N56,M57,L58,K59,J60,I61,H62,G63,F64,E65,D66,C67)</f>
        <v>11490435.773861244</v>
      </c>
      <c r="C115" s="119">
        <f t="shared" si="47"/>
        <v>0</v>
      </c>
    </row>
    <row r="116" spans="1:3" ht="15" customHeight="1" x14ac:dyDescent="0.25">
      <c r="A116" s="94">
        <f>IF('Cash Flow Analysis'!C84="","",'Cash Flow Analysis'!C84)</f>
        <v>17</v>
      </c>
      <c r="B116" s="109">
        <f ca="1">SUM(V49,U50,T51,S52,R53,Q54,P55,O56,N57,M58,L59,K60,J61,I62,H63,G64,F65,E66,D67,C68)</f>
        <v>11568598.559490537</v>
      </c>
      <c r="C116" s="119">
        <f t="shared" si="47"/>
        <v>0</v>
      </c>
    </row>
    <row r="117" spans="1:3" ht="15" customHeight="1" x14ac:dyDescent="0.25">
      <c r="A117" s="94">
        <f>IF('Cash Flow Analysis'!C85="","",'Cash Flow Analysis'!C85)</f>
        <v>18</v>
      </c>
      <c r="B117" s="109">
        <f t="shared" ref="B117:B140" ca="1" si="48">SUM(W49,V50,U51,T52,S53,R54,Q55,P56,O57,N58,M59,L60,K61,J62,I63,H64,G65,F66,E67,D68,C69)</f>
        <v>11643547.291794484</v>
      </c>
      <c r="C117" s="119">
        <f t="shared" si="47"/>
        <v>0</v>
      </c>
    </row>
    <row r="118" spans="1:3" ht="15" customHeight="1" x14ac:dyDescent="0.25">
      <c r="A118" s="94">
        <f>IF('Cash Flow Analysis'!C86="","",'Cash Flow Analysis'!C86)</f>
        <v>19</v>
      </c>
      <c r="B118" s="109">
        <f t="shared" ca="1" si="48"/>
        <v>11724619.196264505</v>
      </c>
      <c r="C118" s="119">
        <f t="shared" si="47"/>
        <v>0</v>
      </c>
    </row>
    <row r="119" spans="1:3" ht="15" customHeight="1" x14ac:dyDescent="0.25">
      <c r="A119" s="94">
        <f>IF('Cash Flow Analysis'!C87="","",'Cash Flow Analysis'!C87)</f>
        <v>20</v>
      </c>
      <c r="B119" s="109">
        <f t="shared" ca="1" si="48"/>
        <v>11802532.320667159</v>
      </c>
      <c r="C119" s="119">
        <f t="shared" si="47"/>
        <v>0</v>
      </c>
    </row>
    <row r="120" spans="1:3" ht="15" customHeight="1" x14ac:dyDescent="0.25">
      <c r="A120" s="94">
        <f>IF('Cash Flow Analysis'!C88="","",'Cash Flow Analysis'!C88)</f>
        <v>21</v>
      </c>
      <c r="B120" s="109">
        <f t="shared" ca="1" si="48"/>
        <v>6680357.5556757245</v>
      </c>
      <c r="C120" s="119">
        <f t="shared" si="47"/>
        <v>0</v>
      </c>
    </row>
    <row r="121" spans="1:3" ht="15" customHeight="1" x14ac:dyDescent="0.25">
      <c r="A121" s="94">
        <f>IF('Cash Flow Analysis'!C89="","",'Cash Flow Analysis'!C89)</f>
        <v>22</v>
      </c>
      <c r="B121" s="109">
        <f t="shared" ca="1" si="48"/>
        <v>1529756.4453568531</v>
      </c>
      <c r="C121" s="119">
        <f t="shared" si="47"/>
        <v>0</v>
      </c>
    </row>
    <row r="122" spans="1:3" ht="15" customHeight="1" x14ac:dyDescent="0.25">
      <c r="A122" s="94">
        <f>IF('Cash Flow Analysis'!C90="","",'Cash Flow Analysis'!C90)</f>
        <v>23</v>
      </c>
      <c r="B122" s="109">
        <f t="shared" ca="1" si="48"/>
        <v>1558821.8178186328</v>
      </c>
      <c r="C122" s="119">
        <f t="shared" si="47"/>
        <v>0</v>
      </c>
    </row>
    <row r="123" spans="1:3" ht="15" customHeight="1" x14ac:dyDescent="0.25">
      <c r="A123" s="94">
        <f>IF('Cash Flow Analysis'!C91="","",'Cash Flow Analysis'!C91)</f>
        <v>24</v>
      </c>
      <c r="B123" s="109">
        <f t="shared" ca="1" si="48"/>
        <v>1588439.4323571872</v>
      </c>
      <c r="C123" s="119">
        <f t="shared" si="47"/>
        <v>0</v>
      </c>
    </row>
    <row r="124" spans="1:3" ht="15" customHeight="1" x14ac:dyDescent="0.25">
      <c r="A124" s="94">
        <f>IF('Cash Flow Analysis'!C92="","",'Cash Flow Analysis'!C92)</f>
        <v>25</v>
      </c>
      <c r="B124" s="109">
        <f t="shared" ca="1" si="48"/>
        <v>1618619.7815719736</v>
      </c>
      <c r="C124" s="119">
        <f t="shared" si="47"/>
        <v>0</v>
      </c>
    </row>
    <row r="125" spans="1:3" ht="15" customHeight="1" x14ac:dyDescent="0.25">
      <c r="A125" s="94">
        <f>IF('Cash Flow Analysis'!C93="","",'Cash Flow Analysis'!C93)</f>
        <v>26</v>
      </c>
      <c r="B125" s="109">
        <f t="shared" ca="1" si="48"/>
        <v>1649373.557421841</v>
      </c>
      <c r="C125" s="119">
        <f t="shared" si="47"/>
        <v>0</v>
      </c>
    </row>
    <row r="126" spans="1:3" ht="15" customHeight="1" x14ac:dyDescent="0.25">
      <c r="A126" s="94">
        <f>IF('Cash Flow Analysis'!C94="","",'Cash Flow Analysis'!C94)</f>
        <v>27</v>
      </c>
      <c r="B126" s="109">
        <f t="shared" ca="1" si="48"/>
        <v>1680711.6550128558</v>
      </c>
      <c r="C126" s="119">
        <f t="shared" si="47"/>
        <v>0</v>
      </c>
    </row>
    <row r="127" spans="1:3" ht="15" customHeight="1" x14ac:dyDescent="0.25">
      <c r="A127" s="94">
        <f>IF('Cash Flow Analysis'!C95="","",'Cash Flow Analysis'!C95)</f>
        <v>28</v>
      </c>
      <c r="B127" s="109">
        <f t="shared" ca="1" si="48"/>
        <v>1712645.1764581003</v>
      </c>
      <c r="C127" s="119">
        <f t="shared" si="47"/>
        <v>0</v>
      </c>
    </row>
    <row r="128" spans="1:3" ht="15" customHeight="1" x14ac:dyDescent="0.25">
      <c r="A128" s="94">
        <f>IF('Cash Flow Analysis'!C96="","",'Cash Flow Analysis'!C96)</f>
        <v>29</v>
      </c>
      <c r="B128" s="109">
        <f t="shared" ca="1" si="48"/>
        <v>1745185.434810804</v>
      </c>
      <c r="C128" s="119">
        <f t="shared" si="47"/>
        <v>0</v>
      </c>
    </row>
    <row r="129" spans="1:3" ht="15" customHeight="1" x14ac:dyDescent="0.25">
      <c r="A129" s="94">
        <f>IF('Cash Flow Analysis'!C97="","",'Cash Flow Analysis'!C97)</f>
        <v>30</v>
      </c>
      <c r="B129" s="109">
        <f t="shared" ca="1" si="48"/>
        <v>1778343.958072209</v>
      </c>
      <c r="C129" s="119">
        <f t="shared" si="47"/>
        <v>0</v>
      </c>
    </row>
    <row r="130" spans="1:3" ht="15" customHeight="1" x14ac:dyDescent="0.25">
      <c r="A130" s="94">
        <f>IF('Cash Flow Analysis'!C98="","",'Cash Flow Analysis'!C98)</f>
        <v>31</v>
      </c>
      <c r="B130" s="109">
        <f t="shared" ca="1" si="48"/>
        <v>1812132.4932755807</v>
      </c>
      <c r="C130" s="119">
        <f t="shared" si="47"/>
        <v>0</v>
      </c>
    </row>
    <row r="131" spans="1:3" ht="15" customHeight="1" x14ac:dyDescent="0.25">
      <c r="A131" s="94">
        <f>IF('Cash Flow Analysis'!C99="","",'Cash Flow Analysis'!C99)</f>
        <v>32</v>
      </c>
      <c r="B131" s="109">
        <f t="shared" ca="1" si="48"/>
        <v>1846563.0106478168</v>
      </c>
      <c r="C131" s="119">
        <f t="shared" si="47"/>
        <v>0</v>
      </c>
    </row>
    <row r="132" spans="1:3" ht="15" customHeight="1" x14ac:dyDescent="0.25">
      <c r="A132" s="94">
        <f>IF('Cash Flow Analysis'!C100="","",'Cash Flow Analysis'!C100)</f>
        <v>33</v>
      </c>
      <c r="B132" s="109">
        <f t="shared" ca="1" si="48"/>
        <v>1881647.7078501249</v>
      </c>
      <c r="C132" s="119">
        <f t="shared" si="47"/>
        <v>0</v>
      </c>
    </row>
    <row r="133" spans="1:3" ht="15" customHeight="1" x14ac:dyDescent="0.25">
      <c r="A133" s="94">
        <f>IF('Cash Flow Analysis'!C101="","",'Cash Flow Analysis'!C101)</f>
        <v>34</v>
      </c>
      <c r="B133" s="109">
        <f t="shared" ca="1" si="48"/>
        <v>1917399.0142992777</v>
      </c>
      <c r="C133" s="119">
        <f t="shared" si="47"/>
        <v>0</v>
      </c>
    </row>
    <row r="134" spans="1:3" ht="15" customHeight="1" x14ac:dyDescent="0.25">
      <c r="A134" s="94">
        <f>IF('Cash Flow Analysis'!C102="","",'Cash Flow Analysis'!C102)</f>
        <v>35</v>
      </c>
      <c r="B134" s="109">
        <f t="shared" ca="1" si="48"/>
        <v>1953829.5955709636</v>
      </c>
      <c r="C134" s="119">
        <f t="shared" si="47"/>
        <v>0</v>
      </c>
    </row>
    <row r="135" spans="1:3" ht="15" customHeight="1" x14ac:dyDescent="0.25">
      <c r="A135" s="94">
        <f>IF('Cash Flow Analysis'!C103="","",'Cash Flow Analysis'!C103)</f>
        <v>36</v>
      </c>
      <c r="B135" s="109">
        <f t="shared" ca="1" si="48"/>
        <v>1990952.3578868122</v>
      </c>
      <c r="C135" s="119">
        <f t="shared" si="47"/>
        <v>0</v>
      </c>
    </row>
    <row r="136" spans="1:3" ht="15" customHeight="1" x14ac:dyDescent="0.25">
      <c r="A136" s="94">
        <f>IF('Cash Flow Analysis'!C104="","",'Cash Flow Analysis'!C104)</f>
        <v>37</v>
      </c>
      <c r="B136" s="109">
        <f t="shared" ca="1" si="48"/>
        <v>2028780.4526866616</v>
      </c>
      <c r="C136" s="119">
        <f t="shared" si="47"/>
        <v>0</v>
      </c>
    </row>
    <row r="137" spans="1:3" ht="15" customHeight="1" x14ac:dyDescent="0.25">
      <c r="A137" s="94">
        <f>IF('Cash Flow Analysis'!C105="","",'Cash Flow Analysis'!C105)</f>
        <v>38</v>
      </c>
      <c r="B137" s="109">
        <f t="shared" ca="1" si="48"/>
        <v>2067327.2812877076</v>
      </c>
      <c r="C137" s="119">
        <f t="shared" si="47"/>
        <v>0</v>
      </c>
    </row>
    <row r="138" spans="1:3" ht="15" customHeight="1" x14ac:dyDescent="0.25">
      <c r="A138" s="94">
        <f>IF('Cash Flow Analysis'!C106="","",'Cash Flow Analysis'!C106)</f>
        <v>39</v>
      </c>
      <c r="B138" s="109">
        <f t="shared" ca="1" si="48"/>
        <v>2106606.4996321741</v>
      </c>
      <c r="C138" s="119">
        <f t="shared" si="47"/>
        <v>0</v>
      </c>
    </row>
    <row r="139" spans="1:3" ht="15" customHeight="1" x14ac:dyDescent="0.25">
      <c r="A139" s="94">
        <f>IF('Cash Flow Analysis'!C107="","",'Cash Flow Analysis'!C107)</f>
        <v>40</v>
      </c>
      <c r="B139" s="109">
        <f t="shared" ca="1" si="48"/>
        <v>2146632.0231251856</v>
      </c>
      <c r="C139" s="119">
        <f t="shared" si="47"/>
        <v>0</v>
      </c>
    </row>
    <row r="140" spans="1:3" ht="15" customHeight="1" thickBot="1" x14ac:dyDescent="0.3">
      <c r="A140" s="120" t="str">
        <f>IF('Cash Flow Analysis'!C108="","",'Cash Flow Analysis'!C108)</f>
        <v/>
      </c>
      <c r="B140" s="121">
        <f t="shared" ca="1" si="48"/>
        <v>2090555.8018745151</v>
      </c>
      <c r="C140" s="122">
        <f t="shared" ca="1" si="47"/>
        <v>2090555.8018745151</v>
      </c>
    </row>
    <row r="141" spans="1:3" ht="15" customHeight="1" thickTop="1" thickBot="1" x14ac:dyDescent="0.35">
      <c r="A141" s="123" t="s">
        <v>62</v>
      </c>
      <c r="B141" s="124">
        <f ca="1">SUM(B97:B140)</f>
        <v>285328695.76952374</v>
      </c>
      <c r="C141" s="125">
        <f ca="1">SUM(C97:C140)</f>
        <v>2090555.8018745151</v>
      </c>
    </row>
    <row r="142" spans="1:3" ht="15" customHeight="1" thickTop="1" x14ac:dyDescent="0.3">
      <c r="A142" s="126"/>
      <c r="B142" s="127"/>
      <c r="C142" s="128"/>
    </row>
    <row r="143" spans="1:3" ht="15" customHeight="1" thickBot="1" x14ac:dyDescent="0.3">
      <c r="A143" s="38" t="str">
        <f>IF('Cash Flow Analysis'!C109="","",'Cash Flow Analysis'!C109)</f>
        <v/>
      </c>
      <c r="B143" s="115"/>
    </row>
    <row r="144" spans="1:3" ht="31.5" customHeight="1" thickTop="1" x14ac:dyDescent="0.35">
      <c r="A144" s="1713" t="s">
        <v>63</v>
      </c>
      <c r="B144" s="1714"/>
    </row>
    <row r="145" spans="1:2" ht="16.5" customHeight="1" thickBot="1" x14ac:dyDescent="0.35">
      <c r="A145" s="129" t="s">
        <v>64</v>
      </c>
      <c r="B145" s="130" t="s">
        <v>60</v>
      </c>
    </row>
    <row r="146" spans="1:2" ht="15" customHeight="1" thickTop="1" x14ac:dyDescent="0.25">
      <c r="A146" s="131">
        <v>1</v>
      </c>
      <c r="B146" s="105">
        <f ca="1">SUM(D92,E91,F90,G89,H88,I87,J86,K85,L84,M83,N82,O81,P80,Q79,R78,S77,T76,U75,V74,W73)</f>
        <v>1943810.1124748073</v>
      </c>
    </row>
    <row r="147" spans="1:2" ht="15" customHeight="1" x14ac:dyDescent="0.25">
      <c r="A147" s="94">
        <v>2</v>
      </c>
      <c r="B147" s="110">
        <f ca="1">SUM(E92,F91,G90,H89,I88,J87,K86,L85,M84,N83,O82,P81,Q80,R79,S78,T77,U76,V75,W74)</f>
        <v>1808276.0759077061</v>
      </c>
    </row>
    <row r="148" spans="1:2" ht="15" customHeight="1" x14ac:dyDescent="0.25">
      <c r="A148" s="94">
        <v>3</v>
      </c>
      <c r="B148" s="110">
        <f ca="1">SUM(F92,G91,H90,I89,J88,K87,L86,M85,N84,O83,P82,Q81,R80,S79,T78,U77,V76,W75)</f>
        <v>1683081.8566045037</v>
      </c>
    </row>
    <row r="149" spans="1:2" ht="15" customHeight="1" x14ac:dyDescent="0.25">
      <c r="A149" s="94">
        <v>4</v>
      </c>
      <c r="B149" s="110">
        <f ca="1">SUM(G92,H91,I90,J89,K88,L87,M86,N85,O84,P83,Q82,R81,S80,T79,U78,V77,W76)</f>
        <v>1567494.0336881895</v>
      </c>
    </row>
    <row r="150" spans="1:2" ht="15" customHeight="1" x14ac:dyDescent="0.25">
      <c r="A150" s="94">
        <v>5</v>
      </c>
      <c r="B150" s="110">
        <f ca="1">SUM(H92,I91,J90,K89,L88,M87,N86,O85,P84,Q83,R82,S81,T80,U79,V78,W77)</f>
        <v>1460765.2512850892</v>
      </c>
    </row>
    <row r="151" spans="1:2" ht="15" customHeight="1" x14ac:dyDescent="0.25">
      <c r="A151" s="94">
        <v>6</v>
      </c>
      <c r="B151" s="110">
        <f ca="1">SUM(I92,J91,K90,L89,M88,N87,O86,P85,Q84,R83,S82,T81,U80,V79,W78)</f>
        <v>1362263.1033995165</v>
      </c>
    </row>
    <row r="152" spans="1:2" ht="15" customHeight="1" x14ac:dyDescent="0.25">
      <c r="A152" s="94">
        <v>7</v>
      </c>
      <c r="B152" s="110">
        <f ca="1">SUM(J92,K91,L90,M89,N88,O87,P86,Q85,R84,S83,T82,U81,V80,W79)</f>
        <v>1271343.1683218672</v>
      </c>
    </row>
    <row r="153" spans="1:2" ht="15" customHeight="1" x14ac:dyDescent="0.25">
      <c r="A153" s="94">
        <v>8</v>
      </c>
      <c r="B153" s="110">
        <f ca="1">SUM(K92,L91,M90,N89,O88,P87,Q86,R85,S84,T83,U82,V81,W80)</f>
        <v>1180245.550152783</v>
      </c>
    </row>
    <row r="154" spans="1:2" ht="15" customHeight="1" x14ac:dyDescent="0.25">
      <c r="A154" s="94">
        <v>9</v>
      </c>
      <c r="B154" s="110">
        <f ca="1">SUM(L92,M91,N90,O89,P88,Q87,R86,S85,T84,U83,V82,W81)</f>
        <v>1087442.9071664035</v>
      </c>
    </row>
    <row r="155" spans="1:2" ht="15" customHeight="1" x14ac:dyDescent="0.25">
      <c r="A155" s="94">
        <v>10</v>
      </c>
      <c r="B155" s="110">
        <f ca="1">SUM(M92,N91,O90,P89,Q88,R87,S86,T85,U84,V83,W82)</f>
        <v>992851.18403536547</v>
      </c>
    </row>
    <row r="156" spans="1:2" ht="15" customHeight="1" x14ac:dyDescent="0.25">
      <c r="A156" s="94">
        <v>11</v>
      </c>
      <c r="B156" s="110">
        <f ca="1">SUM(N92,O91,P90,Q89,R88,S87,T86,U85,V84,W83)</f>
        <v>896488.04809275514</v>
      </c>
    </row>
    <row r="157" spans="1:2" ht="15" customHeight="1" x14ac:dyDescent="0.25">
      <c r="A157" s="94">
        <v>12</v>
      </c>
      <c r="B157" s="110">
        <f ca="1">SUM(O92,P91,Q90,R89,S88,T87,U86,V85,W84)</f>
        <v>798268.18263931782</v>
      </c>
    </row>
    <row r="158" spans="1:2" ht="15" customHeight="1" x14ac:dyDescent="0.25">
      <c r="A158" s="94">
        <v>13</v>
      </c>
      <c r="B158" s="110">
        <f ca="1">SUM(P92,Q91,R90,S89,T88,U87,V86,W85)</f>
        <v>698207.96967018256</v>
      </c>
    </row>
    <row r="159" spans="1:2" ht="15" customHeight="1" x14ac:dyDescent="0.25">
      <c r="A159" s="94">
        <v>14</v>
      </c>
      <c r="B159" s="110">
        <f ca="1">SUM(Q92,R91,S90,T89,U88,V87,W86)</f>
        <v>596220.78272671637</v>
      </c>
    </row>
    <row r="160" spans="1:2" ht="15" customHeight="1" x14ac:dyDescent="0.25">
      <c r="A160" s="94">
        <v>15</v>
      </c>
      <c r="B160" s="110">
        <f ca="1">SUM(R92,S91,T90,U89,V88,W87)</f>
        <v>492321.66915924178</v>
      </c>
    </row>
    <row r="161" spans="1:2" ht="15" customHeight="1" x14ac:dyDescent="0.25">
      <c r="A161" s="94">
        <v>16</v>
      </c>
      <c r="B161" s="110">
        <f ca="1">SUM(S92,T91,U90,V89,W88)</f>
        <v>386422.64250606764</v>
      </c>
    </row>
    <row r="162" spans="1:2" ht="15" customHeight="1" x14ac:dyDescent="0.25">
      <c r="A162" s="94">
        <v>17</v>
      </c>
      <c r="B162" s="110">
        <f ca="1">SUM(T92,U91,V90,W89)</f>
        <v>278537.36427440069</v>
      </c>
    </row>
    <row r="163" spans="1:2" ht="15" customHeight="1" x14ac:dyDescent="0.25">
      <c r="A163" s="94">
        <v>18</v>
      </c>
      <c r="B163" s="110">
        <f ca="1">SUM(U92,V91,W90)</f>
        <v>168576.43582841463</v>
      </c>
    </row>
    <row r="164" spans="1:2" ht="15" customHeight="1" x14ac:dyDescent="0.25">
      <c r="A164" s="94">
        <v>19</v>
      </c>
      <c r="B164" s="110">
        <f ca="1">SUM(V92,W91)</f>
        <v>56552.079669872248</v>
      </c>
    </row>
    <row r="165" spans="1:2" ht="15" customHeight="1" thickBot="1" x14ac:dyDescent="0.3">
      <c r="A165" s="96">
        <v>20</v>
      </c>
      <c r="B165" s="97">
        <f>SUM(W92)</f>
        <v>0</v>
      </c>
    </row>
    <row r="166" spans="1:2" ht="14" thickTop="1" thickBot="1" x14ac:dyDescent="0.35">
      <c r="A166" s="123" t="s">
        <v>62</v>
      </c>
      <c r="B166" s="132">
        <f ca="1">SUM(B146:B165)</f>
        <v>18729168.417603195</v>
      </c>
    </row>
    <row r="167" spans="1:2" ht="13"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5" x14ac:dyDescent="0.25"/>
  <cols>
    <col min="1" max="1" width="33" customWidth="1"/>
    <col min="2" max="2" width="10" customWidth="1"/>
    <col min="3" max="3" width="14" customWidth="1"/>
    <col min="4" max="4" width="11.1796875" customWidth="1"/>
    <col min="5" max="5" width="60.81640625" customWidth="1"/>
    <col min="7" max="8" width="14" customWidth="1"/>
    <col min="11" max="11" width="14.1796875" customWidth="1"/>
    <col min="12" max="12" width="18.26953125" customWidth="1"/>
    <col min="15" max="15" width="12.453125" bestFit="1" customWidth="1"/>
    <col min="16" max="16" width="14.26953125" customWidth="1"/>
  </cols>
  <sheetData>
    <row r="1" spans="1:5" s="2" customFormat="1" ht="14" x14ac:dyDescent="0.3">
      <c r="A1" s="2" t="s">
        <v>284</v>
      </c>
      <c r="B1" s="2" t="s">
        <v>285</v>
      </c>
      <c r="C1" s="2" t="s">
        <v>286</v>
      </c>
    </row>
    <row r="2" spans="1:5" ht="14" x14ac:dyDescent="0.3">
      <c r="A2" s="2" t="s">
        <v>287</v>
      </c>
    </row>
    <row r="3" spans="1:5" x14ac:dyDescent="0.25">
      <c r="A3" t="s">
        <v>288</v>
      </c>
      <c r="B3" t="s">
        <v>289</v>
      </c>
      <c r="C3">
        <v>1.6093</v>
      </c>
      <c r="D3" t="s">
        <v>642</v>
      </c>
    </row>
    <row r="4" spans="1:5" x14ac:dyDescent="0.25">
      <c r="A4" t="s">
        <v>290</v>
      </c>
      <c r="B4" t="s">
        <v>291</v>
      </c>
      <c r="C4">
        <v>3.7850000000000001</v>
      </c>
      <c r="D4" t="s">
        <v>643</v>
      </c>
    </row>
    <row r="5" spans="1:5" x14ac:dyDescent="0.25">
      <c r="A5" t="s">
        <v>292</v>
      </c>
      <c r="B5" t="s">
        <v>293</v>
      </c>
      <c r="C5">
        <v>1.8263969224024776E-2</v>
      </c>
      <c r="D5" t="s">
        <v>644</v>
      </c>
    </row>
    <row r="6" spans="1:5" x14ac:dyDescent="0.25">
      <c r="A6" t="s">
        <v>850</v>
      </c>
      <c r="B6" t="s">
        <v>1008</v>
      </c>
      <c r="C6">
        <v>2.6852999999999998E-2</v>
      </c>
      <c r="D6" t="s">
        <v>645</v>
      </c>
      <c r="E6" t="s">
        <v>709</v>
      </c>
    </row>
    <row r="7" spans="1:5" x14ac:dyDescent="0.25">
      <c r="A7" t="s">
        <v>858</v>
      </c>
      <c r="B7" t="s">
        <v>268</v>
      </c>
      <c r="C7">
        <f>1/2.205</f>
        <v>0.45351473922902491</v>
      </c>
      <c r="D7" t="s">
        <v>646</v>
      </c>
    </row>
    <row r="8" spans="1:5" x14ac:dyDescent="0.25">
      <c r="A8" t="s">
        <v>915</v>
      </c>
      <c r="B8" t="s">
        <v>1008</v>
      </c>
      <c r="C8">
        <v>2.8316999999999998E-2</v>
      </c>
      <c r="D8" t="s">
        <v>647</v>
      </c>
      <c r="E8" t="s">
        <v>710</v>
      </c>
    </row>
    <row r="9" spans="1:5" x14ac:dyDescent="0.25">
      <c r="A9" t="s">
        <v>377</v>
      </c>
      <c r="B9" t="s">
        <v>415</v>
      </c>
      <c r="C9">
        <v>145.03800000000001</v>
      </c>
      <c r="D9" t="s">
        <v>551</v>
      </c>
    </row>
    <row r="11" spans="1:5" ht="14" x14ac:dyDescent="0.3">
      <c r="A11" s="2" t="s">
        <v>294</v>
      </c>
    </row>
    <row r="12" spans="1:5" x14ac:dyDescent="0.25">
      <c r="A12" t="s">
        <v>295</v>
      </c>
      <c r="B12" t="s">
        <v>296</v>
      </c>
      <c r="C12">
        <v>0.27777777777777779</v>
      </c>
    </row>
    <row r="13" spans="1:5" x14ac:dyDescent="0.25">
      <c r="A13" t="s">
        <v>297</v>
      </c>
      <c r="B13" t="s">
        <v>296</v>
      </c>
      <c r="C13">
        <v>34.022625288888882</v>
      </c>
    </row>
    <row r="14" spans="1:5" x14ac:dyDescent="0.25">
      <c r="A14" t="s">
        <v>298</v>
      </c>
      <c r="B14" t="s">
        <v>299</v>
      </c>
      <c r="C14">
        <v>0.97933196399532141</v>
      </c>
    </row>
    <row r="15" spans="1:5" x14ac:dyDescent="0.25">
      <c r="A15" t="s">
        <v>298</v>
      </c>
      <c r="B15" t="s">
        <v>296</v>
      </c>
      <c r="C15">
        <f>kgH2_to_GJ*MJ_to_kWh*1000</f>
        <v>33.392121748655818</v>
      </c>
    </row>
    <row r="16" spans="1:5" x14ac:dyDescent="0.25">
      <c r="A16" t="s">
        <v>298</v>
      </c>
      <c r="B16" t="s">
        <v>1074</v>
      </c>
      <c r="C16">
        <f>H2_LHV_MJ_p_kg/1000</f>
        <v>0.12021163829516093</v>
      </c>
    </row>
    <row r="17" spans="1:3" x14ac:dyDescent="0.25">
      <c r="A17" t="s">
        <v>300</v>
      </c>
      <c r="B17" t="s">
        <v>296</v>
      </c>
      <c r="C17">
        <v>2.9308323563892143E-4</v>
      </c>
    </row>
    <row r="18" spans="1:3" x14ac:dyDescent="0.25">
      <c r="A18" t="s">
        <v>1073</v>
      </c>
      <c r="B18" t="s">
        <v>1074</v>
      </c>
      <c r="C18">
        <v>1.0549999999999999</v>
      </c>
    </row>
    <row r="21" spans="1:3" ht="14" x14ac:dyDescent="0.3">
      <c r="A21" s="2" t="s">
        <v>537</v>
      </c>
      <c r="C21" s="463" t="s">
        <v>840</v>
      </c>
    </row>
    <row r="22" spans="1:3" x14ac:dyDescent="0.25">
      <c r="A22" t="s">
        <v>403</v>
      </c>
      <c r="B22">
        <v>1</v>
      </c>
    </row>
    <row r="23" spans="1:3" x14ac:dyDescent="0.25">
      <c r="A23" t="s">
        <v>404</v>
      </c>
      <c r="B23">
        <v>25</v>
      </c>
    </row>
    <row r="24" spans="1:3" x14ac:dyDescent="0.25">
      <c r="A24" t="s">
        <v>405</v>
      </c>
      <c r="B24">
        <v>298</v>
      </c>
    </row>
    <row r="27" spans="1:3" ht="14" x14ac:dyDescent="0.3">
      <c r="A27" s="2" t="s">
        <v>704</v>
      </c>
    </row>
    <row r="28" spans="1:3" x14ac:dyDescent="0.25">
      <c r="A28" t="s">
        <v>705</v>
      </c>
      <c r="B28" t="s">
        <v>706</v>
      </c>
    </row>
    <row r="29" spans="1:3" x14ac:dyDescent="0.25">
      <c r="A29" t="s">
        <v>864</v>
      </c>
      <c r="B29">
        <f>mmBTU_to_GJ</f>
        <v>1.0549999999999999</v>
      </c>
    </row>
    <row r="30" spans="1:3" x14ac:dyDescent="0.25">
      <c r="A30" t="s">
        <v>296</v>
      </c>
      <c r="B30">
        <f>1/MJ_to_kWh/1000</f>
        <v>3.5999999999999995E-3</v>
      </c>
    </row>
    <row r="31" spans="1:3" x14ac:dyDescent="0.25">
      <c r="A31" t="s">
        <v>1074</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zoomScale="85" zoomScaleNormal="85" workbookViewId="0">
      <selection activeCell="P4" sqref="P4:P20"/>
    </sheetView>
  </sheetViews>
  <sheetFormatPr defaultRowHeight="12.5" x14ac:dyDescent="0.25"/>
  <cols>
    <col min="1" max="1" width="17" customWidth="1"/>
    <col min="3" max="3" width="13.7265625" customWidth="1"/>
    <col min="5" max="5" width="16" customWidth="1"/>
    <col min="7" max="7" width="56.453125" customWidth="1"/>
    <col min="8" max="8" width="18.81640625" customWidth="1"/>
    <col min="10" max="10" width="22.26953125" customWidth="1"/>
    <col min="11" max="11" width="33.81640625" customWidth="1"/>
    <col min="13" max="13" width="21" customWidth="1"/>
    <col min="15" max="15" width="20.7265625" customWidth="1"/>
    <col min="16" max="16" width="17.1796875" customWidth="1"/>
    <col min="18" max="18" width="21" customWidth="1"/>
    <col min="20" max="20" width="14.54296875" customWidth="1"/>
    <col min="22" max="22" width="18.54296875" customWidth="1"/>
    <col min="25" max="25" width="22.54296875" customWidth="1"/>
    <col min="26" max="26" width="15.1796875" customWidth="1"/>
    <col min="28" max="28" width="18.7265625" customWidth="1"/>
    <col min="29" max="29" width="18.54296875" customWidth="1"/>
  </cols>
  <sheetData>
    <row r="1" spans="1:29" ht="13" x14ac:dyDescent="0.3">
      <c r="A1" s="1" t="s">
        <v>1091</v>
      </c>
    </row>
    <row r="2" spans="1:29" ht="13" x14ac:dyDescent="0.3">
      <c r="J2" s="1" t="s">
        <v>814</v>
      </c>
    </row>
    <row r="3" spans="1:29" ht="13" x14ac:dyDescent="0.3">
      <c r="A3" s="1" t="s">
        <v>1005</v>
      </c>
      <c r="C3" s="1" t="s">
        <v>22</v>
      </c>
      <c r="E3" s="1" t="s">
        <v>166</v>
      </c>
      <c r="G3" s="1" t="s">
        <v>11</v>
      </c>
      <c r="J3" s="977" t="s">
        <v>1117</v>
      </c>
      <c r="M3" s="1" t="s">
        <v>75</v>
      </c>
      <c r="O3" s="1" t="s">
        <v>439</v>
      </c>
      <c r="R3" s="1" t="s">
        <v>666</v>
      </c>
      <c r="T3" s="1" t="s">
        <v>434</v>
      </c>
      <c r="V3" s="1" t="s">
        <v>436</v>
      </c>
      <c r="Y3" s="1" t="s">
        <v>346</v>
      </c>
      <c r="AB3" s="1" t="s">
        <v>1066</v>
      </c>
    </row>
    <row r="4" spans="1:29" ht="13" x14ac:dyDescent="0.3">
      <c r="A4" t="s">
        <v>1006</v>
      </c>
      <c r="C4" t="s">
        <v>23</v>
      </c>
      <c r="E4" s="1">
        <v>100000</v>
      </c>
      <c r="G4" t="s">
        <v>324</v>
      </c>
      <c r="H4" t="s">
        <v>8</v>
      </c>
      <c r="J4" s="977" t="s">
        <v>1105</v>
      </c>
      <c r="M4" t="s">
        <v>1042</v>
      </c>
      <c r="O4" t="str">
        <f>M7</f>
        <v>ref_year</v>
      </c>
      <c r="P4">
        <v>2016</v>
      </c>
      <c r="R4" s="463" t="s">
        <v>1042</v>
      </c>
      <c r="T4">
        <v>1</v>
      </c>
      <c r="U4" t="s">
        <v>435</v>
      </c>
      <c r="V4" t="s">
        <v>417</v>
      </c>
      <c r="W4">
        <v>1.1000000000000001</v>
      </c>
      <c r="Y4" t="s">
        <v>339</v>
      </c>
      <c r="Z4">
        <v>0.9</v>
      </c>
      <c r="AB4" t="s">
        <v>27</v>
      </c>
      <c r="AC4" s="463" t="s">
        <v>825</v>
      </c>
    </row>
    <row r="5" spans="1:29" x14ac:dyDescent="0.25">
      <c r="A5" t="s">
        <v>1007</v>
      </c>
      <c r="C5" t="s">
        <v>282</v>
      </c>
      <c r="G5" t="s">
        <v>335</v>
      </c>
      <c r="H5" t="s">
        <v>26</v>
      </c>
      <c r="J5" s="977" t="s">
        <v>1106</v>
      </c>
      <c r="M5" t="s">
        <v>8</v>
      </c>
      <c r="O5" t="str">
        <f>M18</f>
        <v>depr_type</v>
      </c>
      <c r="P5" t="s">
        <v>438</v>
      </c>
      <c r="R5" s="463" t="s">
        <v>936</v>
      </c>
      <c r="T5">
        <v>1.2</v>
      </c>
      <c r="U5" t="s">
        <v>424</v>
      </c>
      <c r="V5" t="s">
        <v>418</v>
      </c>
      <c r="W5">
        <v>1</v>
      </c>
      <c r="Y5" t="s">
        <v>340</v>
      </c>
      <c r="Z5">
        <v>0.04</v>
      </c>
      <c r="AB5" t="s">
        <v>179</v>
      </c>
      <c r="AC5" s="463" t="s">
        <v>825</v>
      </c>
    </row>
    <row r="6" spans="1:29" x14ac:dyDescent="0.25">
      <c r="G6" t="s">
        <v>373</v>
      </c>
      <c r="H6" t="s">
        <v>182</v>
      </c>
      <c r="J6" s="977" t="s">
        <v>1107</v>
      </c>
      <c r="M6" t="s">
        <v>26</v>
      </c>
      <c r="O6" t="str">
        <f>M19</f>
        <v>equity</v>
      </c>
      <c r="P6" s="1512">
        <v>0.4</v>
      </c>
      <c r="R6" s="463" t="s">
        <v>937</v>
      </c>
      <c r="V6" t="s">
        <v>419</v>
      </c>
      <c r="W6">
        <v>1.05</v>
      </c>
      <c r="Y6" t="s">
        <v>550</v>
      </c>
      <c r="Z6">
        <v>14.7</v>
      </c>
      <c r="AB6" t="s">
        <v>171</v>
      </c>
      <c r="AC6" s="463" t="s">
        <v>825</v>
      </c>
    </row>
    <row r="7" spans="1:29" ht="13" x14ac:dyDescent="0.3">
      <c r="A7" s="1" t="s">
        <v>270</v>
      </c>
      <c r="C7" s="1" t="s">
        <v>1057</v>
      </c>
      <c r="G7" t="s">
        <v>374</v>
      </c>
      <c r="H7" t="s">
        <v>10</v>
      </c>
      <c r="J7" s="1397" t="s">
        <v>1290</v>
      </c>
      <c r="M7" t="s">
        <v>1025</v>
      </c>
      <c r="O7" t="str">
        <f t="shared" ref="O7:O13" si="0">M25</f>
        <v>decom_percent</v>
      </c>
      <c r="P7">
        <v>0.1</v>
      </c>
      <c r="R7" s="463" t="s">
        <v>938</v>
      </c>
      <c r="V7" t="s">
        <v>420</v>
      </c>
      <c r="W7">
        <v>1.1000000000000001</v>
      </c>
      <c r="Y7" t="s">
        <v>962</v>
      </c>
      <c r="Z7">
        <v>0</v>
      </c>
      <c r="AB7" t="s">
        <v>173</v>
      </c>
      <c r="AC7" s="463" t="s">
        <v>825</v>
      </c>
    </row>
    <row r="8" spans="1:29" x14ac:dyDescent="0.25">
      <c r="A8" t="s">
        <v>248</v>
      </c>
      <c r="C8" t="s">
        <v>1052</v>
      </c>
      <c r="G8" t="s">
        <v>378</v>
      </c>
      <c r="H8" t="s">
        <v>181</v>
      </c>
      <c r="M8" t="s">
        <v>182</v>
      </c>
      <c r="O8" t="str">
        <f t="shared" si="0"/>
        <v>salvage_perct</v>
      </c>
      <c r="P8">
        <v>0.1</v>
      </c>
      <c r="R8" s="463" t="s">
        <v>939</v>
      </c>
      <c r="V8" t="s">
        <v>422</v>
      </c>
      <c r="W8">
        <v>1.1000000000000001</v>
      </c>
      <c r="Y8" s="305" t="s">
        <v>1270</v>
      </c>
      <c r="Z8" s="305">
        <v>1</v>
      </c>
      <c r="AB8" t="s">
        <v>29</v>
      </c>
      <c r="AC8" s="463" t="s">
        <v>825</v>
      </c>
    </row>
    <row r="9" spans="1:29" x14ac:dyDescent="0.25">
      <c r="A9" t="s">
        <v>271</v>
      </c>
      <c r="C9" t="s">
        <v>271</v>
      </c>
      <c r="G9" t="s">
        <v>379</v>
      </c>
      <c r="H9" t="s">
        <v>170</v>
      </c>
      <c r="M9" t="s">
        <v>10</v>
      </c>
      <c r="O9" t="str">
        <f t="shared" si="0"/>
        <v>inflation_rate</v>
      </c>
      <c r="P9">
        <v>1.9E-2</v>
      </c>
      <c r="R9" s="463" t="s">
        <v>940</v>
      </c>
      <c r="V9" t="s">
        <v>421</v>
      </c>
      <c r="W9">
        <v>1.3</v>
      </c>
      <c r="Y9" s="305" t="s">
        <v>345</v>
      </c>
      <c r="Z9" s="305">
        <v>100</v>
      </c>
      <c r="AB9" t="s">
        <v>159</v>
      </c>
      <c r="AC9" s="463" t="s">
        <v>825</v>
      </c>
    </row>
    <row r="10" spans="1:29" x14ac:dyDescent="0.25">
      <c r="A10" t="s">
        <v>272</v>
      </c>
      <c r="C10" t="s">
        <v>1058</v>
      </c>
      <c r="G10" t="s">
        <v>325</v>
      </c>
      <c r="H10" t="s">
        <v>18</v>
      </c>
      <c r="M10" t="s">
        <v>161</v>
      </c>
      <c r="O10" t="str">
        <f t="shared" si="0"/>
        <v>real_irr</v>
      </c>
      <c r="P10" s="1512">
        <v>0.08</v>
      </c>
      <c r="R10" s="463" t="s">
        <v>941</v>
      </c>
      <c r="V10" t="s">
        <v>423</v>
      </c>
      <c r="W10">
        <v>1.5</v>
      </c>
      <c r="Y10" s="305" t="s">
        <v>1252</v>
      </c>
      <c r="Z10" s="305">
        <v>0.75</v>
      </c>
      <c r="AB10" t="s">
        <v>169</v>
      </c>
      <c r="AC10" s="463" t="s">
        <v>825</v>
      </c>
    </row>
    <row r="11" spans="1:29" ht="13" x14ac:dyDescent="0.3">
      <c r="C11" t="s">
        <v>1071</v>
      </c>
      <c r="G11" t="s">
        <v>326</v>
      </c>
      <c r="H11" t="s">
        <v>178</v>
      </c>
      <c r="J11" s="1" t="s">
        <v>693</v>
      </c>
      <c r="K11" s="1" t="s">
        <v>694</v>
      </c>
      <c r="M11" t="s">
        <v>162</v>
      </c>
      <c r="O11" t="str">
        <f t="shared" si="0"/>
        <v>state_tax_rate</v>
      </c>
      <c r="P11">
        <v>0.06</v>
      </c>
      <c r="R11" s="463" t="s">
        <v>942</v>
      </c>
      <c r="Y11" s="305" t="s">
        <v>1253</v>
      </c>
      <c r="Z11" s="1337" t="s">
        <v>23</v>
      </c>
      <c r="AB11" t="s">
        <v>1093</v>
      </c>
      <c r="AC11" t="s">
        <v>839</v>
      </c>
    </row>
    <row r="12" spans="1:29" x14ac:dyDescent="0.25">
      <c r="C12" t="s">
        <v>272</v>
      </c>
      <c r="G12" t="s">
        <v>327</v>
      </c>
      <c r="H12" t="s">
        <v>30</v>
      </c>
      <c r="J12" s="891" t="str">
        <f>TMP_PriceTable</f>
        <v>AEO_2017_Reference_Case</v>
      </c>
      <c r="K12" t="str">
        <f>J12&amp;"_Feeds"</f>
        <v>AEO_2017_Reference_Case_Feeds</v>
      </c>
      <c r="M12" t="s">
        <v>163</v>
      </c>
      <c r="O12" t="str">
        <f t="shared" si="0"/>
        <v>fed_tax_rate</v>
      </c>
      <c r="P12" s="1512">
        <v>0.21</v>
      </c>
      <c r="R12" s="463" t="s">
        <v>943</v>
      </c>
      <c r="Y12" s="305" t="s">
        <v>1254</v>
      </c>
      <c r="Z12" s="1337" t="s">
        <v>23</v>
      </c>
      <c r="AB12" t="s">
        <v>1094</v>
      </c>
      <c r="AC12" t="s">
        <v>1062</v>
      </c>
    </row>
    <row r="13" spans="1:29" ht="13" x14ac:dyDescent="0.3">
      <c r="G13" t="s">
        <v>328</v>
      </c>
      <c r="H13" t="s">
        <v>174</v>
      </c>
      <c r="K13" s="1" t="s">
        <v>695</v>
      </c>
      <c r="M13" t="s">
        <v>164</v>
      </c>
      <c r="O13" t="str">
        <f t="shared" si="0"/>
        <v>WorkingCap</v>
      </c>
      <c r="P13">
        <v>0.15</v>
      </c>
      <c r="R13" s="463" t="s">
        <v>944</v>
      </c>
      <c r="Y13" s="305" t="s">
        <v>1255</v>
      </c>
      <c r="Z13" s="305">
        <v>0</v>
      </c>
      <c r="AB13" t="s">
        <v>1022</v>
      </c>
      <c r="AC13">
        <v>0.25</v>
      </c>
    </row>
    <row r="14" spans="1:29" ht="13" x14ac:dyDescent="0.3">
      <c r="A14" s="1" t="s">
        <v>16</v>
      </c>
      <c r="C14" s="1" t="s">
        <v>199</v>
      </c>
      <c r="G14" t="s">
        <v>329</v>
      </c>
      <c r="H14" t="s">
        <v>184</v>
      </c>
      <c r="K14" t="str">
        <f>J12&amp;"_Years"</f>
        <v>AEO_2017_Reference_Case_Years</v>
      </c>
      <c r="M14" t="s">
        <v>181</v>
      </c>
      <c r="O14" t="s">
        <v>160</v>
      </c>
      <c r="P14">
        <v>0.2</v>
      </c>
      <c r="R14" t="s">
        <v>8</v>
      </c>
      <c r="Y14" s="305" t="s">
        <v>1256</v>
      </c>
      <c r="Z14" s="305">
        <v>53</v>
      </c>
      <c r="AB14" t="s">
        <v>1023</v>
      </c>
      <c r="AC14" t="s">
        <v>839</v>
      </c>
    </row>
    <row r="15" spans="1:29" x14ac:dyDescent="0.25">
      <c r="A15" t="s">
        <v>191</v>
      </c>
      <c r="C15" s="779" t="s">
        <v>200</v>
      </c>
      <c r="G15" t="s">
        <v>330</v>
      </c>
      <c r="H15" t="s">
        <v>28</v>
      </c>
      <c r="M15" t="s">
        <v>170</v>
      </c>
      <c r="O15" t="s">
        <v>186</v>
      </c>
      <c r="P15">
        <v>0.02</v>
      </c>
      <c r="R15" t="s">
        <v>26</v>
      </c>
      <c r="Y15" s="1333"/>
      <c r="Z15" s="1333"/>
      <c r="AB15" t="s">
        <v>31</v>
      </c>
      <c r="AC15" t="s">
        <v>1062</v>
      </c>
    </row>
    <row r="16" spans="1:29" ht="14" x14ac:dyDescent="0.25">
      <c r="A16" t="s">
        <v>192</v>
      </c>
      <c r="C16" s="780" t="s">
        <v>201</v>
      </c>
      <c r="G16" t="s">
        <v>331</v>
      </c>
      <c r="H16" t="s">
        <v>189</v>
      </c>
      <c r="M16" t="s">
        <v>7</v>
      </c>
      <c r="O16" t="s">
        <v>177</v>
      </c>
      <c r="P16">
        <v>0</v>
      </c>
      <c r="R16" t="s">
        <v>1025</v>
      </c>
      <c r="Y16" s="1333"/>
      <c r="Z16" s="1334"/>
      <c r="AB16" t="s">
        <v>175</v>
      </c>
      <c r="AC16" t="s">
        <v>1062</v>
      </c>
    </row>
    <row r="17" spans="1:29" x14ac:dyDescent="0.25">
      <c r="A17" t="s">
        <v>243</v>
      </c>
      <c r="C17" s="836" t="s">
        <v>501</v>
      </c>
      <c r="G17" t="s">
        <v>12</v>
      </c>
      <c r="H17" t="s">
        <v>246</v>
      </c>
      <c r="M17" t="s">
        <v>24</v>
      </c>
      <c r="O17" t="s">
        <v>156</v>
      </c>
      <c r="P17">
        <v>0</v>
      </c>
      <c r="R17" t="s">
        <v>182</v>
      </c>
      <c r="AB17" t="s">
        <v>1024</v>
      </c>
      <c r="AC17" t="s">
        <v>1062</v>
      </c>
    </row>
    <row r="18" spans="1:29" x14ac:dyDescent="0.25">
      <c r="A18" t="s">
        <v>244</v>
      </c>
      <c r="C18" s="781" t="s">
        <v>1032</v>
      </c>
      <c r="G18" t="s">
        <v>117</v>
      </c>
      <c r="H18" t="s">
        <v>974</v>
      </c>
      <c r="M18" t="s">
        <v>25</v>
      </c>
      <c r="O18" t="s">
        <v>185</v>
      </c>
      <c r="P18">
        <v>0</v>
      </c>
      <c r="R18" t="s">
        <v>10</v>
      </c>
      <c r="Y18" s="1333"/>
      <c r="Z18" s="1333"/>
      <c r="AB18" t="s">
        <v>172</v>
      </c>
      <c r="AC18" t="s">
        <v>1062</v>
      </c>
    </row>
    <row r="19" spans="1:29" x14ac:dyDescent="0.25">
      <c r="A19" t="s">
        <v>245</v>
      </c>
      <c r="C19" s="480" t="s">
        <v>202</v>
      </c>
      <c r="G19" t="s">
        <v>634</v>
      </c>
      <c r="H19" t="s">
        <v>635</v>
      </c>
      <c r="M19" t="s">
        <v>247</v>
      </c>
      <c r="O19" t="s">
        <v>964</v>
      </c>
      <c r="P19">
        <v>0</v>
      </c>
      <c r="R19" t="s">
        <v>161</v>
      </c>
      <c r="Y19" s="1333"/>
      <c r="Z19" s="1333"/>
      <c r="AB19" t="s">
        <v>157</v>
      </c>
      <c r="AC19" t="s">
        <v>1061</v>
      </c>
    </row>
    <row r="20" spans="1:29" x14ac:dyDescent="0.25">
      <c r="A20" t="s">
        <v>17</v>
      </c>
      <c r="G20" t="s">
        <v>352</v>
      </c>
      <c r="H20" t="s">
        <v>1093</v>
      </c>
      <c r="M20" t="s">
        <v>13</v>
      </c>
      <c r="O20" t="s">
        <v>965</v>
      </c>
      <c r="P20">
        <v>0</v>
      </c>
      <c r="R20" t="s">
        <v>162</v>
      </c>
      <c r="Y20" s="1333"/>
      <c r="Z20" s="1333"/>
      <c r="AB20" t="s">
        <v>158</v>
      </c>
      <c r="AC20" t="s">
        <v>1062</v>
      </c>
    </row>
    <row r="21" spans="1:29" x14ac:dyDescent="0.25">
      <c r="G21" t="s">
        <v>662</v>
      </c>
      <c r="H21" t="s">
        <v>1022</v>
      </c>
      <c r="M21" t="s">
        <v>14</v>
      </c>
      <c r="R21" t="s">
        <v>163</v>
      </c>
      <c r="AB21" t="s">
        <v>187</v>
      </c>
      <c r="AC21" t="s">
        <v>1061</v>
      </c>
    </row>
    <row r="22" spans="1:29" x14ac:dyDescent="0.25">
      <c r="G22" t="s">
        <v>332</v>
      </c>
      <c r="H22" t="s">
        <v>160</v>
      </c>
      <c r="M22" t="s">
        <v>165</v>
      </c>
      <c r="R22" t="s">
        <v>164</v>
      </c>
      <c r="AB22" t="s">
        <v>280</v>
      </c>
      <c r="AC22" t="s">
        <v>1061</v>
      </c>
    </row>
    <row r="23" spans="1:29" ht="13" x14ac:dyDescent="0.3">
      <c r="A23" s="1" t="s">
        <v>838</v>
      </c>
      <c r="G23" t="s">
        <v>333</v>
      </c>
      <c r="H23" t="s">
        <v>186</v>
      </c>
      <c r="M23" t="s">
        <v>167</v>
      </c>
      <c r="R23" t="s">
        <v>181</v>
      </c>
      <c r="AB23" t="s">
        <v>188</v>
      </c>
      <c r="AC23" t="s">
        <v>1061</v>
      </c>
    </row>
    <row r="24" spans="1:29" x14ac:dyDescent="0.25">
      <c r="A24" s="463" t="s">
        <v>1061</v>
      </c>
      <c r="G24" t="s">
        <v>359</v>
      </c>
      <c r="H24" t="s">
        <v>175</v>
      </c>
      <c r="M24" t="s">
        <v>168</v>
      </c>
      <c r="R24" t="s">
        <v>170</v>
      </c>
      <c r="AB24" t="s">
        <v>180</v>
      </c>
      <c r="AC24" t="s">
        <v>1061</v>
      </c>
    </row>
    <row r="25" spans="1:29" x14ac:dyDescent="0.25">
      <c r="A25" s="463" t="s">
        <v>1062</v>
      </c>
      <c r="G25" t="s">
        <v>360</v>
      </c>
      <c r="H25" t="s">
        <v>1024</v>
      </c>
      <c r="M25" t="s">
        <v>18</v>
      </c>
      <c r="R25" t="s">
        <v>7</v>
      </c>
      <c r="AB25" t="s">
        <v>177</v>
      </c>
      <c r="AC25" t="s">
        <v>1061</v>
      </c>
    </row>
    <row r="26" spans="1:29" x14ac:dyDescent="0.25">
      <c r="A26" s="463" t="s">
        <v>839</v>
      </c>
      <c r="G26" t="s">
        <v>361</v>
      </c>
      <c r="H26" t="s">
        <v>172</v>
      </c>
      <c r="M26" t="s">
        <v>178</v>
      </c>
      <c r="R26" t="s">
        <v>24</v>
      </c>
      <c r="AB26" t="s">
        <v>156</v>
      </c>
      <c r="AC26" t="s">
        <v>1061</v>
      </c>
    </row>
    <row r="27" spans="1:29" x14ac:dyDescent="0.25">
      <c r="A27" s="463" t="s">
        <v>825</v>
      </c>
      <c r="G27" t="s">
        <v>365</v>
      </c>
      <c r="H27" t="s">
        <v>188</v>
      </c>
      <c r="M27" t="s">
        <v>30</v>
      </c>
      <c r="R27" t="s">
        <v>25</v>
      </c>
      <c r="AB27" t="s">
        <v>185</v>
      </c>
      <c r="AC27" t="s">
        <v>1061</v>
      </c>
    </row>
    <row r="28" spans="1:29" x14ac:dyDescent="0.25">
      <c r="A28">
        <v>0.1</v>
      </c>
      <c r="G28" t="s">
        <v>366</v>
      </c>
      <c r="H28" t="s">
        <v>180</v>
      </c>
      <c r="M28" t="s">
        <v>174</v>
      </c>
      <c r="R28" t="s">
        <v>247</v>
      </c>
      <c r="AB28" t="s">
        <v>1065</v>
      </c>
      <c r="AC28" t="s">
        <v>825</v>
      </c>
    </row>
    <row r="29" spans="1:29" x14ac:dyDescent="0.25">
      <c r="A29">
        <v>0.2</v>
      </c>
      <c r="G29" t="s">
        <v>1000</v>
      </c>
      <c r="H29" t="s">
        <v>9</v>
      </c>
      <c r="M29" t="s">
        <v>184</v>
      </c>
      <c r="R29" t="s">
        <v>13</v>
      </c>
    </row>
    <row r="30" spans="1:29" x14ac:dyDescent="0.25">
      <c r="A30">
        <v>0.25</v>
      </c>
      <c r="G30" t="s">
        <v>835</v>
      </c>
      <c r="H30" t="s">
        <v>836</v>
      </c>
      <c r="M30" t="s">
        <v>28</v>
      </c>
      <c r="R30" t="s">
        <v>14</v>
      </c>
    </row>
    <row r="31" spans="1:29" x14ac:dyDescent="0.25">
      <c r="A31">
        <v>0.3</v>
      </c>
      <c r="G31" t="s">
        <v>835</v>
      </c>
      <c r="H31" t="s">
        <v>836</v>
      </c>
      <c r="M31" t="s">
        <v>189</v>
      </c>
      <c r="R31" t="s">
        <v>165</v>
      </c>
    </row>
    <row r="32" spans="1:29" x14ac:dyDescent="0.25">
      <c r="A32">
        <v>0.4</v>
      </c>
      <c r="G32" t="s">
        <v>1359</v>
      </c>
      <c r="H32" t="s">
        <v>1360</v>
      </c>
      <c r="M32" t="s">
        <v>1093</v>
      </c>
      <c r="R32" t="s">
        <v>167</v>
      </c>
    </row>
    <row r="33" spans="1:18" x14ac:dyDescent="0.25">
      <c r="A33">
        <v>0.5</v>
      </c>
      <c r="M33" t="s">
        <v>1094</v>
      </c>
      <c r="R33" t="s">
        <v>168</v>
      </c>
    </row>
    <row r="34" spans="1:18" x14ac:dyDescent="0.25">
      <c r="A34">
        <v>0.6</v>
      </c>
      <c r="M34" t="s">
        <v>1022</v>
      </c>
      <c r="R34" t="s">
        <v>18</v>
      </c>
    </row>
    <row r="35" spans="1:18" x14ac:dyDescent="0.25">
      <c r="A35">
        <v>0.7</v>
      </c>
      <c r="M35" t="s">
        <v>1023</v>
      </c>
      <c r="R35" t="s">
        <v>178</v>
      </c>
    </row>
    <row r="36" spans="1:18" x14ac:dyDescent="0.25">
      <c r="A36">
        <v>0.8</v>
      </c>
      <c r="M36" t="s">
        <v>160</v>
      </c>
      <c r="R36" t="s">
        <v>30</v>
      </c>
    </row>
    <row r="37" spans="1:18" x14ac:dyDescent="0.25">
      <c r="A37">
        <v>0.9</v>
      </c>
      <c r="M37" t="s">
        <v>186</v>
      </c>
      <c r="R37" t="s">
        <v>174</v>
      </c>
    </row>
    <row r="38" spans="1:18" x14ac:dyDescent="0.25">
      <c r="M38" t="s">
        <v>175</v>
      </c>
      <c r="R38" t="s">
        <v>184</v>
      </c>
    </row>
    <row r="39" spans="1:18" x14ac:dyDescent="0.25">
      <c r="M39" t="s">
        <v>1024</v>
      </c>
      <c r="R39" t="s">
        <v>28</v>
      </c>
    </row>
    <row r="40" spans="1:18" x14ac:dyDescent="0.25">
      <c r="M40" t="s">
        <v>172</v>
      </c>
      <c r="R40" t="s">
        <v>189</v>
      </c>
    </row>
    <row r="41" spans="1:18" x14ac:dyDescent="0.25">
      <c r="M41" t="s">
        <v>157</v>
      </c>
      <c r="R41" t="s">
        <v>246</v>
      </c>
    </row>
    <row r="42" spans="1:18" x14ac:dyDescent="0.25">
      <c r="M42" t="s">
        <v>158</v>
      </c>
      <c r="R42" t="s">
        <v>27</v>
      </c>
    </row>
    <row r="43" spans="1:18" x14ac:dyDescent="0.25">
      <c r="M43" t="s">
        <v>280</v>
      </c>
      <c r="R43" t="s">
        <v>179</v>
      </c>
    </row>
    <row r="44" spans="1:18" x14ac:dyDescent="0.25">
      <c r="M44" t="s">
        <v>187</v>
      </c>
      <c r="R44" t="s">
        <v>171</v>
      </c>
    </row>
    <row r="45" spans="1:18" x14ac:dyDescent="0.25">
      <c r="M45" t="s">
        <v>188</v>
      </c>
      <c r="R45" t="s">
        <v>173</v>
      </c>
    </row>
    <row r="46" spans="1:18" x14ac:dyDescent="0.25">
      <c r="M46" t="s">
        <v>180</v>
      </c>
      <c r="R46" t="s">
        <v>29</v>
      </c>
    </row>
    <row r="47" spans="1:18" x14ac:dyDescent="0.25">
      <c r="M47" t="s">
        <v>176</v>
      </c>
      <c r="R47" t="s">
        <v>159</v>
      </c>
    </row>
    <row r="48" spans="1:18" x14ac:dyDescent="0.25">
      <c r="M48" t="s">
        <v>177</v>
      </c>
      <c r="R48" t="s">
        <v>169</v>
      </c>
    </row>
    <row r="49" spans="13:18" x14ac:dyDescent="0.25">
      <c r="M49" t="s">
        <v>156</v>
      </c>
      <c r="R49" t="s">
        <v>1093</v>
      </c>
    </row>
    <row r="50" spans="13:18" x14ac:dyDescent="0.25">
      <c r="M50" t="s">
        <v>185</v>
      </c>
      <c r="R50" t="s">
        <v>1094</v>
      </c>
    </row>
    <row r="51" spans="13:18" x14ac:dyDescent="0.25">
      <c r="M51" t="s">
        <v>9</v>
      </c>
      <c r="R51" t="s">
        <v>1022</v>
      </c>
    </row>
    <row r="52" spans="13:18" x14ac:dyDescent="0.25">
      <c r="M52" t="s">
        <v>1065</v>
      </c>
      <c r="R52" t="s">
        <v>1023</v>
      </c>
    </row>
    <row r="53" spans="13:18" x14ac:dyDescent="0.25">
      <c r="M53" t="s">
        <v>587</v>
      </c>
      <c r="R53" t="s">
        <v>160</v>
      </c>
    </row>
    <row r="54" spans="13:18" x14ac:dyDescent="0.25">
      <c r="M54" t="s">
        <v>340</v>
      </c>
      <c r="R54" t="s">
        <v>186</v>
      </c>
    </row>
    <row r="55" spans="13:18" x14ac:dyDescent="0.25">
      <c r="M55" t="s">
        <v>341</v>
      </c>
      <c r="R55" t="s">
        <v>175</v>
      </c>
    </row>
    <row r="56" spans="13:18" x14ac:dyDescent="0.25">
      <c r="M56" t="s">
        <v>342</v>
      </c>
      <c r="R56" t="s">
        <v>1024</v>
      </c>
    </row>
    <row r="57" spans="13:18" x14ac:dyDescent="0.25">
      <c r="M57" t="s">
        <v>588</v>
      </c>
      <c r="R57" t="s">
        <v>172</v>
      </c>
    </row>
    <row r="58" spans="13:18" x14ac:dyDescent="0.25">
      <c r="M58" t="s">
        <v>343</v>
      </c>
      <c r="R58" t="s">
        <v>157</v>
      </c>
    </row>
    <row r="59" spans="13:18" x14ac:dyDescent="0.25">
      <c r="M59" t="s">
        <v>589</v>
      </c>
      <c r="R59" t="s">
        <v>158</v>
      </c>
    </row>
    <row r="60" spans="13:18" x14ac:dyDescent="0.25">
      <c r="M60" t="s">
        <v>344</v>
      </c>
      <c r="R60" t="s">
        <v>280</v>
      </c>
    </row>
    <row r="61" spans="13:18" x14ac:dyDescent="0.25">
      <c r="M61" t="s">
        <v>345</v>
      </c>
      <c r="R61" t="s">
        <v>281</v>
      </c>
    </row>
    <row r="62" spans="13:18" x14ac:dyDescent="0.25">
      <c r="R62" t="s">
        <v>259</v>
      </c>
    </row>
    <row r="63" spans="13:18" x14ac:dyDescent="0.25">
      <c r="R63" t="s">
        <v>187</v>
      </c>
    </row>
    <row r="64" spans="13:18" x14ac:dyDescent="0.25">
      <c r="R64" t="s">
        <v>188</v>
      </c>
    </row>
    <row r="65" spans="18:18" x14ac:dyDescent="0.25">
      <c r="R65" t="s">
        <v>180</v>
      </c>
    </row>
    <row r="66" spans="18:18" x14ac:dyDescent="0.25">
      <c r="R66" t="s">
        <v>176</v>
      </c>
    </row>
    <row r="67" spans="18:18" x14ac:dyDescent="0.25">
      <c r="R67" t="s">
        <v>177</v>
      </c>
    </row>
    <row r="68" spans="18:18" x14ac:dyDescent="0.25">
      <c r="R68" t="s">
        <v>156</v>
      </c>
    </row>
    <row r="69" spans="18:18" x14ac:dyDescent="0.25">
      <c r="R69" t="s">
        <v>185</v>
      </c>
    </row>
    <row r="70" spans="18:18" x14ac:dyDescent="0.25">
      <c r="R70" t="s">
        <v>9</v>
      </c>
    </row>
    <row r="71" spans="18:18" x14ac:dyDescent="0.25">
      <c r="R71" t="s">
        <v>1065</v>
      </c>
    </row>
    <row r="72" spans="18:18" x14ac:dyDescent="0.25">
      <c r="R72" t="s">
        <v>587</v>
      </c>
    </row>
    <row r="73" spans="18:18" x14ac:dyDescent="0.25">
      <c r="R73" t="s">
        <v>340</v>
      </c>
    </row>
    <row r="74" spans="18:18" x14ac:dyDescent="0.25">
      <c r="R74" t="s">
        <v>341</v>
      </c>
    </row>
    <row r="75" spans="18:18" x14ac:dyDescent="0.25">
      <c r="R75" t="s">
        <v>342</v>
      </c>
    </row>
    <row r="76" spans="18:18" x14ac:dyDescent="0.25">
      <c r="R76" t="s">
        <v>588</v>
      </c>
    </row>
    <row r="77" spans="18:18" x14ac:dyDescent="0.25">
      <c r="R77" t="s">
        <v>343</v>
      </c>
    </row>
    <row r="78" spans="18:18" x14ac:dyDescent="0.25">
      <c r="R78" t="s">
        <v>589</v>
      </c>
    </row>
    <row r="79" spans="18:18" x14ac:dyDescent="0.25">
      <c r="R79" t="s">
        <v>344</v>
      </c>
    </row>
    <row r="80" spans="18:18" x14ac:dyDescent="0.25">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409</v>
      </c>
    </row>
    <row r="6" spans="2:2" ht="13" x14ac:dyDescent="0.3">
      <c r="B6" s="783" t="s">
        <v>204</v>
      </c>
    </row>
    <row r="7" spans="2:2" x14ac:dyDescent="0.25">
      <c r="B7" s="747"/>
    </row>
    <row r="8" spans="2:2" x14ac:dyDescent="0.25">
      <c r="B8" s="784"/>
    </row>
    <row r="9" spans="2:2" x14ac:dyDescent="0.25">
      <c r="B9" s="784"/>
    </row>
    <row r="10" spans="2:2" x14ac:dyDescent="0.25">
      <c r="B10" s="784"/>
    </row>
    <row r="11" spans="2:2" x14ac:dyDescent="0.25">
      <c r="B11" s="784"/>
    </row>
    <row r="12" spans="2:2" x14ac:dyDescent="0.25">
      <c r="B12" s="784"/>
    </row>
    <row r="13" spans="2:2" x14ac:dyDescent="0.25">
      <c r="B13" s="784"/>
    </row>
    <row r="14" spans="2:2" x14ac:dyDescent="0.25">
      <c r="B14" s="784"/>
    </row>
    <row r="15" spans="2:2" x14ac:dyDescent="0.25">
      <c r="B15" s="784"/>
    </row>
    <row r="16" spans="2:2" x14ac:dyDescent="0.25">
      <c r="B16" s="784"/>
    </row>
    <row r="17" spans="2:2" x14ac:dyDescent="0.25">
      <c r="B17" s="784"/>
    </row>
    <row r="18" spans="2:2" x14ac:dyDescent="0.25">
      <c r="B18" s="784"/>
    </row>
    <row r="19" spans="2:2" x14ac:dyDescent="0.25">
      <c r="B19" s="784"/>
    </row>
    <row r="20" spans="2:2" x14ac:dyDescent="0.25">
      <c r="B20" s="784"/>
    </row>
    <row r="21" spans="2:2" x14ac:dyDescent="0.25">
      <c r="B21" s="784"/>
    </row>
    <row r="22" spans="2:2" x14ac:dyDescent="0.25">
      <c r="B22" s="784"/>
    </row>
    <row r="23" spans="2:2" x14ac:dyDescent="0.25">
      <c r="B23" s="784"/>
    </row>
    <row r="24" spans="2:2" x14ac:dyDescent="0.25">
      <c r="B24" s="784"/>
    </row>
    <row r="25" spans="2:2" x14ac:dyDescent="0.25">
      <c r="B25" s="784"/>
    </row>
    <row r="26" spans="2:2" x14ac:dyDescent="0.25">
      <c r="B26" s="784"/>
    </row>
    <row r="27" spans="2:2" x14ac:dyDescent="0.25">
      <c r="B27" s="784"/>
    </row>
    <row r="28" spans="2:2" x14ac:dyDescent="0.25">
      <c r="B28" s="784"/>
    </row>
    <row r="29" spans="2:2" ht="13" x14ac:dyDescent="0.3">
      <c r="B29" s="785" t="s">
        <v>205</v>
      </c>
    </row>
    <row r="30" spans="2:2" x14ac:dyDescent="0.25">
      <c r="B30" s="747"/>
    </row>
    <row r="31" spans="2:2" x14ac:dyDescent="0.25">
      <c r="B31" s="209"/>
    </row>
    <row r="32" spans="2:2" x14ac:dyDescent="0.25">
      <c r="B32" s="784"/>
    </row>
    <row r="80" ht="81" customHeight="1" x14ac:dyDescent="0.25"/>
    <row r="82" ht="97.5" customHeight="1" x14ac:dyDescent="0.25"/>
    <row r="84" ht="68.25" customHeight="1" x14ac:dyDescent="0.25"/>
    <row r="86" ht="63" customHeight="1" x14ac:dyDescent="0.25"/>
    <row r="88" ht="63.75" customHeight="1" x14ac:dyDescent="0.25"/>
    <row r="90"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7042150</xdr:colOff>
                <xdr:row>0</xdr:row>
                <xdr:rowOff>95250</xdr:rowOff>
              </from>
              <to>
                <xdr:col>1</xdr:col>
                <xdr:colOff>8191500</xdr:colOff>
                <xdr:row>2</xdr:row>
                <xdr:rowOff>107950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408</v>
      </c>
    </row>
    <row r="6" spans="2:2" ht="13" x14ac:dyDescent="0.3">
      <c r="B6" s="783" t="s">
        <v>206</v>
      </c>
    </row>
    <row r="7" spans="2:2" x14ac:dyDescent="0.25">
      <c r="B7" s="747"/>
    </row>
    <row r="8" spans="2:2" x14ac:dyDescent="0.25">
      <c r="B8" s="784"/>
    </row>
    <row r="9" spans="2:2" x14ac:dyDescent="0.25">
      <c r="B9" s="784"/>
    </row>
    <row r="10" spans="2:2" ht="13" x14ac:dyDescent="0.3">
      <c r="B10" s="785" t="s">
        <v>207</v>
      </c>
    </row>
    <row r="11" spans="2:2" x14ac:dyDescent="0.25">
      <c r="B11" s="747"/>
    </row>
    <row r="12" spans="2:2" x14ac:dyDescent="0.25">
      <c r="B12" s="209"/>
    </row>
    <row r="13" spans="2:2" x14ac:dyDescent="0.25">
      <c r="B13" s="784"/>
    </row>
    <row r="14" spans="2:2" ht="13" x14ac:dyDescent="0.3">
      <c r="B14" s="785" t="s">
        <v>208</v>
      </c>
    </row>
    <row r="15" spans="2:2" x14ac:dyDescent="0.25">
      <c r="B15" s="747"/>
    </row>
    <row r="16" spans="2:2" x14ac:dyDescent="0.25">
      <c r="B16" s="784"/>
    </row>
    <row r="17" spans="2:2" x14ac:dyDescent="0.25">
      <c r="B17" s="784"/>
    </row>
    <row r="18" spans="2:2" ht="13" x14ac:dyDescent="0.3">
      <c r="B18" s="785" t="s">
        <v>209</v>
      </c>
    </row>
    <row r="19" spans="2:2" x14ac:dyDescent="0.25">
      <c r="B19" s="747"/>
    </row>
    <row r="20" spans="2:2" x14ac:dyDescent="0.25">
      <c r="B20" s="784"/>
    </row>
    <row r="21" spans="2:2" ht="13" x14ac:dyDescent="0.25">
      <c r="B21" s="786" t="s">
        <v>210</v>
      </c>
    </row>
    <row r="22" spans="2:2" x14ac:dyDescent="0.25">
      <c r="B22" s="787"/>
    </row>
    <row r="23" spans="2:2" x14ac:dyDescent="0.25">
      <c r="B23" s="747"/>
    </row>
    <row r="24" spans="2:2" x14ac:dyDescent="0.25">
      <c r="B24" s="747"/>
    </row>
    <row r="25" spans="2:2" x14ac:dyDescent="0.25">
      <c r="B25" s="747"/>
    </row>
    <row r="26" spans="2:2" x14ac:dyDescent="0.25">
      <c r="B26" s="787"/>
    </row>
    <row r="75" ht="81" customHeight="1" x14ac:dyDescent="0.25"/>
    <row r="77" ht="97.5" customHeight="1" x14ac:dyDescent="0.25"/>
    <row r="79" ht="68.25" customHeight="1" x14ac:dyDescent="0.25"/>
    <row r="81" ht="63" customHeight="1" x14ac:dyDescent="0.25"/>
    <row r="83" ht="63.75" customHeight="1" x14ac:dyDescent="0.25"/>
    <row r="85"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5765800</xdr:colOff>
                <xdr:row>0</xdr:row>
                <xdr:rowOff>95250</xdr:rowOff>
              </from>
              <to>
                <xdr:col>1</xdr:col>
                <xdr:colOff>6915150</xdr:colOff>
                <xdr:row>2</xdr:row>
                <xdr:rowOff>107950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2" t="s">
        <v>407</v>
      </c>
    </row>
    <row r="4" spans="2:4" ht="13" thickBot="1" x14ac:dyDescent="0.3"/>
    <row r="5" spans="2:4" ht="13.5" thickTop="1" x14ac:dyDescent="0.3">
      <c r="B5" s="788" t="s">
        <v>211</v>
      </c>
      <c r="C5" s="789"/>
      <c r="D5" s="790"/>
    </row>
    <row r="6" spans="2:4" ht="13" x14ac:dyDescent="0.3">
      <c r="B6" s="791" t="s">
        <v>212</v>
      </c>
      <c r="C6" s="523"/>
      <c r="D6" s="790"/>
    </row>
    <row r="7" spans="2:4" ht="13" x14ac:dyDescent="0.3">
      <c r="B7" s="791" t="s">
        <v>213</v>
      </c>
      <c r="C7" s="523"/>
      <c r="D7" s="790"/>
    </row>
    <row r="8" spans="2:4" ht="13" x14ac:dyDescent="0.3">
      <c r="B8" s="791" t="s">
        <v>214</v>
      </c>
      <c r="C8" s="523"/>
      <c r="D8" s="790"/>
    </row>
    <row r="9" spans="2:4" ht="13" x14ac:dyDescent="0.3">
      <c r="B9" s="791" t="s">
        <v>215</v>
      </c>
      <c r="C9" s="792"/>
      <c r="D9" s="793"/>
    </row>
    <row r="10" spans="2:4" ht="13" x14ac:dyDescent="0.3">
      <c r="B10" s="791" t="s">
        <v>216</v>
      </c>
      <c r="C10" s="523"/>
      <c r="D10" s="790"/>
    </row>
    <row r="11" spans="2:4" ht="13" x14ac:dyDescent="0.3">
      <c r="B11" s="791" t="s">
        <v>217</v>
      </c>
      <c r="C11" s="794"/>
      <c r="D11" s="795"/>
    </row>
    <row r="12" spans="2:4" ht="13.5" thickBot="1" x14ac:dyDescent="0.35">
      <c r="B12" s="796" t="s">
        <v>218</v>
      </c>
      <c r="C12" s="524"/>
      <c r="D12" s="790"/>
    </row>
    <row r="13" spans="2:4" ht="14" thickTop="1" thickBot="1" x14ac:dyDescent="0.35">
      <c r="B13" s="797"/>
      <c r="C13" s="790"/>
      <c r="D13" s="798"/>
    </row>
    <row r="14" spans="2:4" ht="13.5" thickTop="1" x14ac:dyDescent="0.3">
      <c r="B14" s="788" t="s">
        <v>219</v>
      </c>
      <c r="C14" s="799"/>
      <c r="D14" s="800"/>
    </row>
    <row r="15" spans="2:4" ht="13" x14ac:dyDescent="0.3">
      <c r="B15" s="791" t="s">
        <v>220</v>
      </c>
      <c r="C15" s="801"/>
      <c r="D15" s="802"/>
    </row>
    <row r="16" spans="2:4" ht="13" x14ac:dyDescent="0.3">
      <c r="B16" s="791" t="s">
        <v>221</v>
      </c>
      <c r="C16" s="737"/>
      <c r="D16" s="800"/>
    </row>
    <row r="17" spans="2:4" ht="13" x14ac:dyDescent="0.3">
      <c r="B17" s="791" t="s">
        <v>222</v>
      </c>
      <c r="C17" s="737"/>
      <c r="D17" s="800"/>
    </row>
    <row r="18" spans="2:4" ht="13" x14ac:dyDescent="0.3">
      <c r="B18" s="791" t="s">
        <v>223</v>
      </c>
      <c r="C18" s="737"/>
      <c r="D18" s="803"/>
    </row>
    <row r="19" spans="2:4" ht="13" x14ac:dyDescent="0.3">
      <c r="B19" s="791" t="s">
        <v>224</v>
      </c>
      <c r="C19" s="737"/>
      <c r="D19" s="800"/>
    </row>
    <row r="20" spans="2:4" ht="13" x14ac:dyDescent="0.3">
      <c r="B20" s="791" t="s">
        <v>225</v>
      </c>
      <c r="C20" s="737"/>
      <c r="D20" s="800"/>
    </row>
    <row r="21" spans="2:4" ht="13" x14ac:dyDescent="0.3">
      <c r="B21" s="791" t="s">
        <v>226</v>
      </c>
      <c r="C21" s="737"/>
      <c r="D21" s="800"/>
    </row>
    <row r="22" spans="2:4" ht="26" x14ac:dyDescent="0.3">
      <c r="B22" s="804" t="s">
        <v>227</v>
      </c>
      <c r="C22" s="801"/>
      <c r="D22" s="800"/>
    </row>
    <row r="23" spans="2:4" ht="13" x14ac:dyDescent="0.3">
      <c r="B23" s="804" t="s">
        <v>228</v>
      </c>
      <c r="C23" s="737"/>
      <c r="D23" s="800"/>
    </row>
    <row r="24" spans="2:4" ht="13.5" thickBot="1" x14ac:dyDescent="0.35">
      <c r="B24" s="796" t="s">
        <v>229</v>
      </c>
      <c r="C24" s="805"/>
      <c r="D24" s="800"/>
    </row>
    <row r="25" spans="2:4" ht="14" thickTop="1" thickBot="1" x14ac:dyDescent="0.35">
      <c r="B25" s="806"/>
      <c r="C25" s="800"/>
      <c r="D25" s="800"/>
    </row>
    <row r="26" spans="2:4" ht="13.5" thickTop="1" x14ac:dyDescent="0.3">
      <c r="B26" s="1715" t="s">
        <v>230</v>
      </c>
      <c r="C26" s="1716"/>
      <c r="D26" s="1717"/>
    </row>
    <row r="27" spans="2:4" ht="13" x14ac:dyDescent="0.3">
      <c r="B27" s="807" t="s">
        <v>231</v>
      </c>
      <c r="C27" s="808" t="s">
        <v>232</v>
      </c>
      <c r="D27" s="809" t="s">
        <v>1030</v>
      </c>
    </row>
    <row r="28" spans="2:4" x14ac:dyDescent="0.25">
      <c r="B28" s="810"/>
      <c r="C28" s="811"/>
      <c r="D28" s="737"/>
    </row>
    <row r="29" spans="2:4" x14ac:dyDescent="0.25">
      <c r="B29" s="812"/>
      <c r="C29" s="811"/>
      <c r="D29" s="737"/>
    </row>
    <row r="30" spans="2:4" x14ac:dyDescent="0.25">
      <c r="B30" s="812"/>
      <c r="C30" s="811"/>
      <c r="D30" s="737"/>
    </row>
    <row r="31" spans="2:4" x14ac:dyDescent="0.25">
      <c r="B31" s="812"/>
      <c r="C31" s="811"/>
      <c r="D31" s="737"/>
    </row>
    <row r="32" spans="2:4" x14ac:dyDescent="0.25">
      <c r="B32" s="812"/>
      <c r="C32" s="811"/>
      <c r="D32" s="737"/>
    </row>
    <row r="33" spans="2:4" ht="13" thickBot="1" x14ac:dyDescent="0.3">
      <c r="B33" s="813"/>
      <c r="C33" s="814"/>
      <c r="D33" s="805"/>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12700</xdr:rowOff>
              </from>
              <to>
                <xdr:col>3</xdr:col>
                <xdr:colOff>1803400</xdr:colOff>
                <xdr:row>1</xdr:row>
                <xdr:rowOff>457200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Props1.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2.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3.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EF8E5CF-3FBC-4639-B789-46FCAB06DA57}">
  <ds:schemaRefs>
    <ds:schemaRef ds:uri="http://purl.org/dc/terms/"/>
    <ds:schemaRef ds:uri="http://schemas.microsoft.com/office/2006/documentManagement/types"/>
    <ds:schemaRef ds:uri="http://purl.org/dc/elements/1.1/"/>
    <ds:schemaRef ds:uri="http://schemas.openxmlformats.org/package/2006/metadata/core-properties"/>
    <ds:schemaRef ds:uri="d82b9494-d8c4-46c3-8d38-25b9e100fe6d"/>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314</vt:i4>
      </vt:variant>
    </vt:vector>
  </HeadingPairs>
  <TitlesOfParts>
    <vt:vector size="336"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utilityIndustrial_Electricity_Price</vt:lpstr>
      <vt:lpstr>utilityIndustrial_Electricity_Usage</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Natural Gas without CO2 Sequestration version 3.2018</dc:title>
  <dc:subject>DOE H2A production case study for current central hydrogen production from natural gas without CO2 sequestration.</dc:subject>
  <dc:creator>dsteward</dc:creator>
  <cp:lastModifiedBy>JRICKARD</cp:lastModifiedBy>
  <cp:lastPrinted>2008-09-22T17:50:40Z</cp:lastPrinted>
  <dcterms:created xsi:type="dcterms:W3CDTF">2007-03-27T19:45:13Z</dcterms:created>
  <dcterms:modified xsi:type="dcterms:W3CDTF">2018-11-27T00:28:04Z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